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000" activeTab="3"/>
  </bookViews>
  <sheets>
    <sheet name="Overview" sheetId="1" r:id="rId1"/>
    <sheet name="N2O 2006 IPCC GL" sheetId="6" r:id="rId2"/>
    <sheet name="N2O 2019 IPCC GL" sheetId="13" r:id="rId3"/>
    <sheet name="Proposed N2O meth." sheetId="5" r:id="rId4"/>
    <sheet name="CH4 2006 IPCC GL" sheetId="14" r:id="rId5"/>
    <sheet name="Proposed CH4 meth." sheetId="12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4" i="6" l="1"/>
  <c r="D61" i="13"/>
  <c r="D33" i="13"/>
  <c r="AF33" i="12" l="1"/>
  <c r="AE33" i="12"/>
  <c r="AD33" i="12"/>
  <c r="AC33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K33" i="12"/>
  <c r="J33" i="12"/>
  <c r="I33" i="12"/>
  <c r="H33" i="12"/>
  <c r="G33" i="12"/>
  <c r="F33" i="12"/>
  <c r="E33" i="12"/>
  <c r="D33" i="12"/>
  <c r="C33" i="12"/>
  <c r="AG50" i="5" l="1"/>
  <c r="C14" i="5" l="1"/>
  <c r="AE61" i="13" l="1"/>
  <c r="AD61" i="13"/>
  <c r="AC61" i="13"/>
  <c r="AB61" i="13"/>
  <c r="AA61" i="13"/>
  <c r="Z61" i="13"/>
  <c r="Y61" i="13"/>
  <c r="X61" i="13"/>
  <c r="W61" i="13"/>
  <c r="V61" i="13"/>
  <c r="U61" i="13"/>
  <c r="T61" i="13"/>
  <c r="S61" i="13"/>
  <c r="R61" i="13"/>
  <c r="Q61" i="13"/>
  <c r="P61" i="13"/>
  <c r="O61" i="13"/>
  <c r="N61" i="13"/>
  <c r="M61" i="13"/>
  <c r="L61" i="13"/>
  <c r="K61" i="13"/>
  <c r="J61" i="13"/>
  <c r="I61" i="13"/>
  <c r="H61" i="13"/>
  <c r="G61" i="13"/>
  <c r="F61" i="13"/>
  <c r="E61" i="13"/>
  <c r="C61" i="13"/>
  <c r="AF61" i="13"/>
  <c r="AG43" i="5" l="1"/>
  <c r="M84" i="1" l="1"/>
  <c r="M83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AD14" i="14" l="1"/>
  <c r="AD16" i="14" s="1"/>
  <c r="AD21" i="14" s="1"/>
  <c r="AD63" i="14" s="1"/>
  <c r="AE14" i="14"/>
  <c r="AE16" i="14" s="1"/>
  <c r="AE21" i="14" s="1"/>
  <c r="AE63" i="14" s="1"/>
  <c r="AF14" i="14"/>
  <c r="AF16" i="14"/>
  <c r="AF21" i="14"/>
  <c r="AF63" i="14" s="1"/>
  <c r="AD31" i="14"/>
  <c r="AD71" i="14" s="1"/>
  <c r="AE31" i="14"/>
  <c r="AE71" i="14" s="1"/>
  <c r="AF31" i="14"/>
  <c r="AF71" i="14" s="1"/>
  <c r="AD34" i="14"/>
  <c r="AD40" i="14" s="1"/>
  <c r="AD75" i="14" s="1"/>
  <c r="AE34" i="14"/>
  <c r="AE40" i="14" s="1"/>
  <c r="AE75" i="14" s="1"/>
  <c r="AF34" i="14"/>
  <c r="AF40" i="14" s="1"/>
  <c r="AF75" i="14" s="1"/>
  <c r="AD49" i="14"/>
  <c r="AE49" i="14"/>
  <c r="AF49" i="14"/>
  <c r="AD69" i="14"/>
  <c r="AE69" i="14"/>
  <c r="AF69" i="14"/>
  <c r="AF37" i="14" l="1"/>
  <c r="AF73" i="14" s="1"/>
  <c r="AF77" i="14" s="1"/>
  <c r="AF79" i="14" s="1"/>
  <c r="AF80" i="14" s="1"/>
  <c r="AE37" i="14"/>
  <c r="AE73" i="14" s="1"/>
  <c r="AE77" i="14" s="1"/>
  <c r="AE79" i="14" s="1"/>
  <c r="AE80" i="14" s="1"/>
  <c r="AD37" i="14"/>
  <c r="AD73" i="14" s="1"/>
  <c r="AD77" i="14" s="1"/>
  <c r="AD79" i="14" s="1"/>
  <c r="AD80" i="14" s="1"/>
  <c r="AF59" i="12" l="1"/>
  <c r="AF57" i="12"/>
  <c r="AF30" i="12"/>
  <c r="AF61" i="12" s="1"/>
  <c r="AF17" i="12"/>
  <c r="AF19" i="12" s="1"/>
  <c r="AE59" i="12"/>
  <c r="AE57" i="12"/>
  <c r="AE30" i="12"/>
  <c r="AE61" i="12" s="1"/>
  <c r="AE17" i="12"/>
  <c r="AE19" i="12" s="1"/>
  <c r="AD59" i="12"/>
  <c r="AD57" i="12"/>
  <c r="AD30" i="12"/>
  <c r="AD61" i="12" s="1"/>
  <c r="AD17" i="12"/>
  <c r="AD19" i="12" s="1"/>
  <c r="R75" i="14"/>
  <c r="Q75" i="14"/>
  <c r="P75" i="14"/>
  <c r="O75" i="14"/>
  <c r="N75" i="14"/>
  <c r="M75" i="14"/>
  <c r="L75" i="14"/>
  <c r="K75" i="14"/>
  <c r="J75" i="14"/>
  <c r="I75" i="14"/>
  <c r="H75" i="14"/>
  <c r="G75" i="14"/>
  <c r="F75" i="14"/>
  <c r="E75" i="14"/>
  <c r="D75" i="14"/>
  <c r="C75" i="14"/>
  <c r="R73" i="14"/>
  <c r="Q73" i="14"/>
  <c r="P73" i="14"/>
  <c r="O73" i="14"/>
  <c r="N73" i="14"/>
  <c r="M73" i="14"/>
  <c r="L73" i="14"/>
  <c r="K73" i="14"/>
  <c r="J73" i="14"/>
  <c r="I73" i="14"/>
  <c r="H73" i="14"/>
  <c r="G73" i="14"/>
  <c r="F73" i="14"/>
  <c r="E73" i="14"/>
  <c r="D73" i="14"/>
  <c r="C73" i="14"/>
  <c r="AB71" i="14"/>
  <c r="C71" i="14"/>
  <c r="AC69" i="14"/>
  <c r="AB69" i="14"/>
  <c r="AA69" i="14"/>
  <c r="Z69" i="14"/>
  <c r="Y69" i="14"/>
  <c r="X69" i="14"/>
  <c r="W69" i="14"/>
  <c r="V69" i="14"/>
  <c r="U69" i="14"/>
  <c r="T69" i="14"/>
  <c r="S69" i="14"/>
  <c r="R69" i="14"/>
  <c r="Q69" i="14"/>
  <c r="P69" i="14"/>
  <c r="O69" i="14"/>
  <c r="N69" i="14"/>
  <c r="N77" i="14" s="1"/>
  <c r="M69" i="14"/>
  <c r="M77" i="14" s="1"/>
  <c r="M79" i="14" s="1"/>
  <c r="M80" i="14" s="1"/>
  <c r="L69" i="14"/>
  <c r="K69" i="14"/>
  <c r="J69" i="14"/>
  <c r="I69" i="14"/>
  <c r="H69" i="14"/>
  <c r="G69" i="14"/>
  <c r="F69" i="14"/>
  <c r="F77" i="14" s="1"/>
  <c r="E69" i="14"/>
  <c r="E77" i="14" s="1"/>
  <c r="E79" i="14" s="1"/>
  <c r="E80" i="14" s="1"/>
  <c r="D69" i="14"/>
  <c r="C69" i="14"/>
  <c r="C77" i="14" s="1"/>
  <c r="AC49" i="14"/>
  <c r="AB49" i="14"/>
  <c r="AA49" i="14"/>
  <c r="Z49" i="14"/>
  <c r="Y49" i="14"/>
  <c r="X49" i="14"/>
  <c r="W49" i="14"/>
  <c r="V49" i="14"/>
  <c r="U49" i="14"/>
  <c r="T49" i="14"/>
  <c r="S49" i="14"/>
  <c r="R49" i="14"/>
  <c r="Q49" i="14"/>
  <c r="P49" i="14"/>
  <c r="O49" i="14"/>
  <c r="N49" i="14"/>
  <c r="M49" i="14"/>
  <c r="L49" i="14"/>
  <c r="K49" i="14"/>
  <c r="J49" i="14"/>
  <c r="I49" i="14"/>
  <c r="H49" i="14"/>
  <c r="G49" i="14"/>
  <c r="F49" i="14"/>
  <c r="E49" i="14"/>
  <c r="D49" i="14"/>
  <c r="C49" i="14"/>
  <c r="U40" i="14"/>
  <c r="U75" i="14" s="1"/>
  <c r="T40" i="14"/>
  <c r="T75" i="14" s="1"/>
  <c r="AC34" i="14"/>
  <c r="AC37" i="14" s="1"/>
  <c r="AC73" i="14" s="1"/>
  <c r="AB34" i="14"/>
  <c r="AB37" i="14" s="1"/>
  <c r="AB73" i="14" s="1"/>
  <c r="AA34" i="14"/>
  <c r="AA40" i="14" s="1"/>
  <c r="AA75" i="14" s="1"/>
  <c r="U34" i="14"/>
  <c r="U37" i="14" s="1"/>
  <c r="U73" i="14" s="1"/>
  <c r="T34" i="14"/>
  <c r="T37" i="14" s="1"/>
  <c r="T73" i="14" s="1"/>
  <c r="S34" i="14"/>
  <c r="S40" i="14" s="1"/>
  <c r="S75" i="14" s="1"/>
  <c r="O34" i="14"/>
  <c r="N34" i="14"/>
  <c r="M34" i="14"/>
  <c r="L34" i="14"/>
  <c r="K34" i="14"/>
  <c r="G34" i="14"/>
  <c r="F34" i="14"/>
  <c r="E34" i="14"/>
  <c r="D34" i="14"/>
  <c r="C34" i="14"/>
  <c r="AC31" i="14"/>
  <c r="AC71" i="14" s="1"/>
  <c r="AB31" i="14"/>
  <c r="C31" i="14"/>
  <c r="Z30" i="14"/>
  <c r="Y30" i="14"/>
  <c r="X30" i="14"/>
  <c r="W30" i="14"/>
  <c r="V30" i="14"/>
  <c r="U30" i="14"/>
  <c r="U31" i="14" s="1"/>
  <c r="U71" i="14" s="1"/>
  <c r="T30" i="14"/>
  <c r="T31" i="14" s="1"/>
  <c r="T71" i="14" s="1"/>
  <c r="S30" i="14"/>
  <c r="R30" i="14"/>
  <c r="Q30" i="14"/>
  <c r="Q31" i="14" s="1"/>
  <c r="Q71" i="14" s="1"/>
  <c r="Q77" i="14" s="1"/>
  <c r="Q79" i="14" s="1"/>
  <c r="Q80" i="14" s="1"/>
  <c r="P30" i="14"/>
  <c r="P31" i="14" s="1"/>
  <c r="P71" i="14" s="1"/>
  <c r="P77" i="14" s="1"/>
  <c r="P79" i="14" s="1"/>
  <c r="P80" i="14" s="1"/>
  <c r="O30" i="14"/>
  <c r="O31" i="14" s="1"/>
  <c r="O71" i="14" s="1"/>
  <c r="O77" i="14" s="1"/>
  <c r="O79" i="14" s="1"/>
  <c r="O80" i="14" s="1"/>
  <c r="N30" i="14"/>
  <c r="N31" i="14" s="1"/>
  <c r="N71" i="14" s="1"/>
  <c r="M30" i="14"/>
  <c r="M31" i="14" s="1"/>
  <c r="M71" i="14" s="1"/>
  <c r="L30" i="14"/>
  <c r="L31" i="14" s="1"/>
  <c r="L71" i="14" s="1"/>
  <c r="K30" i="14"/>
  <c r="K31" i="14" s="1"/>
  <c r="K71" i="14" s="1"/>
  <c r="J30" i="14"/>
  <c r="J31" i="14" s="1"/>
  <c r="J71" i="14" s="1"/>
  <c r="J77" i="14" s="1"/>
  <c r="I30" i="14"/>
  <c r="I31" i="14" s="1"/>
  <c r="I71" i="14" s="1"/>
  <c r="I77" i="14" s="1"/>
  <c r="H30" i="14"/>
  <c r="H31" i="14" s="1"/>
  <c r="H71" i="14" s="1"/>
  <c r="H77" i="14" s="1"/>
  <c r="G30" i="14"/>
  <c r="G31" i="14" s="1"/>
  <c r="G71" i="14" s="1"/>
  <c r="G77" i="14" s="1"/>
  <c r="G79" i="14" s="1"/>
  <c r="G80" i="14" s="1"/>
  <c r="F30" i="14"/>
  <c r="F31" i="14" s="1"/>
  <c r="F71" i="14" s="1"/>
  <c r="E30" i="14"/>
  <c r="E31" i="14" s="1"/>
  <c r="E71" i="14" s="1"/>
  <c r="D30" i="14"/>
  <c r="D31" i="14" s="1"/>
  <c r="D71" i="14" s="1"/>
  <c r="AB29" i="14"/>
  <c r="AA29" i="14"/>
  <c r="AA31" i="14" s="1"/>
  <c r="AA71" i="14" s="1"/>
  <c r="Z29" i="14"/>
  <c r="Z31" i="14" s="1"/>
  <c r="Z71" i="14" s="1"/>
  <c r="Y29" i="14"/>
  <c r="Y31" i="14" s="1"/>
  <c r="Y71" i="14" s="1"/>
  <c r="X29" i="14"/>
  <c r="X31" i="14" s="1"/>
  <c r="X71" i="14" s="1"/>
  <c r="W29" i="14"/>
  <c r="W31" i="14" s="1"/>
  <c r="W71" i="14" s="1"/>
  <c r="V29" i="14"/>
  <c r="V34" i="14" s="1"/>
  <c r="U29" i="14"/>
  <c r="T29" i="14"/>
  <c r="S29" i="14"/>
  <c r="S31" i="14" s="1"/>
  <c r="S71" i="14" s="1"/>
  <c r="R29" i="14"/>
  <c r="R31" i="14" s="1"/>
  <c r="R71" i="14" s="1"/>
  <c r="R77" i="14" s="1"/>
  <c r="R79" i="14" s="1"/>
  <c r="R80" i="14" s="1"/>
  <c r="Z34" i="14"/>
  <c r="Y34" i="14"/>
  <c r="X34" i="14"/>
  <c r="R34" i="14"/>
  <c r="Q34" i="14"/>
  <c r="P34" i="14"/>
  <c r="J34" i="14"/>
  <c r="I34" i="14"/>
  <c r="H34" i="14"/>
  <c r="Y16" i="14"/>
  <c r="Y21" i="14" s="1"/>
  <c r="Y63" i="14" s="1"/>
  <c r="X16" i="14"/>
  <c r="X21" i="14" s="1"/>
  <c r="X63" i="14" s="1"/>
  <c r="W16" i="14"/>
  <c r="W21" i="14" s="1"/>
  <c r="W63" i="14" s="1"/>
  <c r="Q16" i="14"/>
  <c r="Q21" i="14" s="1"/>
  <c r="Q63" i="14" s="1"/>
  <c r="P16" i="14"/>
  <c r="P21" i="14" s="1"/>
  <c r="P63" i="14" s="1"/>
  <c r="O16" i="14"/>
  <c r="O21" i="14" s="1"/>
  <c r="O63" i="14" s="1"/>
  <c r="I16" i="14"/>
  <c r="I21" i="14" s="1"/>
  <c r="I63" i="14" s="1"/>
  <c r="H16" i="14"/>
  <c r="H21" i="14" s="1"/>
  <c r="H63" i="14" s="1"/>
  <c r="G16" i="14"/>
  <c r="G21" i="14" s="1"/>
  <c r="G63" i="14" s="1"/>
  <c r="AC14" i="14"/>
  <c r="AC16" i="14" s="1"/>
  <c r="AC21" i="14" s="1"/>
  <c r="AC63" i="14" s="1"/>
  <c r="AB14" i="14"/>
  <c r="AB16" i="14" s="1"/>
  <c r="AB21" i="14" s="1"/>
  <c r="AB63" i="14" s="1"/>
  <c r="AA14" i="14"/>
  <c r="AA16" i="14" s="1"/>
  <c r="AA21" i="14" s="1"/>
  <c r="AA63" i="14" s="1"/>
  <c r="Z14" i="14"/>
  <c r="Z16" i="14" s="1"/>
  <c r="Z21" i="14" s="1"/>
  <c r="Z63" i="14" s="1"/>
  <c r="Y14" i="14"/>
  <c r="X14" i="14"/>
  <c r="W14" i="14"/>
  <c r="V14" i="14"/>
  <c r="V16" i="14" s="1"/>
  <c r="V21" i="14" s="1"/>
  <c r="V63" i="14" s="1"/>
  <c r="U14" i="14"/>
  <c r="U16" i="14" s="1"/>
  <c r="U21" i="14" s="1"/>
  <c r="U63" i="14" s="1"/>
  <c r="T14" i="14"/>
  <c r="T16" i="14" s="1"/>
  <c r="T21" i="14" s="1"/>
  <c r="T63" i="14" s="1"/>
  <c r="S14" i="14"/>
  <c r="S16" i="14" s="1"/>
  <c r="S21" i="14" s="1"/>
  <c r="S63" i="14" s="1"/>
  <c r="R14" i="14"/>
  <c r="R16" i="14" s="1"/>
  <c r="R21" i="14" s="1"/>
  <c r="R63" i="14" s="1"/>
  <c r="Q14" i="14"/>
  <c r="P14" i="14"/>
  <c r="O14" i="14"/>
  <c r="N14" i="14"/>
  <c r="N16" i="14" s="1"/>
  <c r="N21" i="14" s="1"/>
  <c r="N63" i="14" s="1"/>
  <c r="M14" i="14"/>
  <c r="M16" i="14" s="1"/>
  <c r="M21" i="14" s="1"/>
  <c r="M63" i="14" s="1"/>
  <c r="L14" i="14"/>
  <c r="L16" i="14" s="1"/>
  <c r="L21" i="14" s="1"/>
  <c r="L63" i="14" s="1"/>
  <c r="K14" i="14"/>
  <c r="K16" i="14" s="1"/>
  <c r="K21" i="14" s="1"/>
  <c r="K63" i="14" s="1"/>
  <c r="J14" i="14"/>
  <c r="J16" i="14" s="1"/>
  <c r="J21" i="14" s="1"/>
  <c r="J63" i="14" s="1"/>
  <c r="I14" i="14"/>
  <c r="H14" i="14"/>
  <c r="G14" i="14"/>
  <c r="F14" i="14"/>
  <c r="F16" i="14" s="1"/>
  <c r="F21" i="14" s="1"/>
  <c r="F63" i="14" s="1"/>
  <c r="E14" i="14"/>
  <c r="E16" i="14" s="1"/>
  <c r="E21" i="14" s="1"/>
  <c r="E63" i="14" s="1"/>
  <c r="D14" i="14"/>
  <c r="D16" i="14" s="1"/>
  <c r="D21" i="14" s="1"/>
  <c r="D63" i="14" s="1"/>
  <c r="C14" i="14"/>
  <c r="C16" i="14" s="1"/>
  <c r="C21" i="14" s="1"/>
  <c r="C63" i="14" s="1"/>
  <c r="C17" i="12"/>
  <c r="C19" i="12" s="1"/>
  <c r="C53" i="12" s="1"/>
  <c r="AE53" i="12" l="1"/>
  <c r="AE55" i="12"/>
  <c r="C55" i="12"/>
  <c r="AD53" i="12"/>
  <c r="AD55" i="12"/>
  <c r="AF53" i="12"/>
  <c r="AF55" i="12"/>
  <c r="N83" i="1" s="1"/>
  <c r="AB40" i="14"/>
  <c r="AB75" i="14" s="1"/>
  <c r="AC40" i="14"/>
  <c r="AC75" i="14" s="1"/>
  <c r="AC77" i="14" s="1"/>
  <c r="AC79" i="14" s="1"/>
  <c r="AC80" i="14" s="1"/>
  <c r="AD63" i="12"/>
  <c r="AD65" i="12" s="1"/>
  <c r="AE63" i="12"/>
  <c r="AE65" i="12" s="1"/>
  <c r="I79" i="14"/>
  <c r="I80" i="14" s="1"/>
  <c r="J79" i="14"/>
  <c r="J80" i="14" s="1"/>
  <c r="X37" i="14"/>
  <c r="X73" i="14" s="1"/>
  <c r="X40" i="14"/>
  <c r="X75" i="14" s="1"/>
  <c r="U77" i="14"/>
  <c r="U79" i="14" s="1"/>
  <c r="U80" i="14" s="1"/>
  <c r="Y40" i="14"/>
  <c r="Y75" i="14" s="1"/>
  <c r="Y37" i="14"/>
  <c r="Y73" i="14" s="1"/>
  <c r="Y77" i="14" s="1"/>
  <c r="Y79" i="14" s="1"/>
  <c r="Y80" i="14" s="1"/>
  <c r="V37" i="14"/>
  <c r="V73" i="14" s="1"/>
  <c r="V40" i="14"/>
  <c r="V75" i="14" s="1"/>
  <c r="C79" i="14"/>
  <c r="C80" i="14" s="1"/>
  <c r="K77" i="14"/>
  <c r="K79" i="14" s="1"/>
  <c r="K80" i="14" s="1"/>
  <c r="AA77" i="14"/>
  <c r="AA79" i="14" s="1"/>
  <c r="AA80" i="14" s="1"/>
  <c r="Z37" i="14"/>
  <c r="Z73" i="14" s="1"/>
  <c r="Z40" i="14"/>
  <c r="Z75" i="14" s="1"/>
  <c r="D77" i="14"/>
  <c r="D79" i="14" s="1"/>
  <c r="D80" i="14" s="1"/>
  <c r="L77" i="14"/>
  <c r="L79" i="14" s="1"/>
  <c r="L80" i="14" s="1"/>
  <c r="T77" i="14"/>
  <c r="T79" i="14" s="1"/>
  <c r="T80" i="14" s="1"/>
  <c r="AB77" i="14"/>
  <c r="AB79" i="14" s="1"/>
  <c r="AB80" i="14" s="1"/>
  <c r="H79" i="14"/>
  <c r="H80" i="14" s="1"/>
  <c r="F79" i="14"/>
  <c r="F80" i="14" s="1"/>
  <c r="N79" i="14"/>
  <c r="N80" i="14" s="1"/>
  <c r="V31" i="14"/>
  <c r="V71" i="14" s="1"/>
  <c r="AA37" i="14"/>
  <c r="AA73" i="14" s="1"/>
  <c r="W34" i="14"/>
  <c r="S37" i="14"/>
  <c r="S73" i="14" s="1"/>
  <c r="S77" i="14" s="1"/>
  <c r="S79" i="14" s="1"/>
  <c r="S80" i="14" s="1"/>
  <c r="AD68" i="12" l="1"/>
  <c r="AE68" i="12"/>
  <c r="N82" i="1"/>
  <c r="V77" i="14"/>
  <c r="V79" i="14" s="1"/>
  <c r="V80" i="14" s="1"/>
  <c r="AF63" i="12"/>
  <c r="AF65" i="12" s="1"/>
  <c r="Z77" i="14"/>
  <c r="Z79" i="14" s="1"/>
  <c r="Z80" i="14" s="1"/>
  <c r="X77" i="14"/>
  <c r="X79" i="14" s="1"/>
  <c r="X80" i="14" s="1"/>
  <c r="W37" i="14"/>
  <c r="W73" i="14" s="1"/>
  <c r="W40" i="14"/>
  <c r="W75" i="14" s="1"/>
  <c r="AF68" i="12" l="1"/>
  <c r="W77" i="14"/>
  <c r="W79" i="14" s="1"/>
  <c r="W80" i="14" s="1"/>
  <c r="AF43" i="5" l="1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D43" i="5"/>
  <c r="C43" i="5"/>
  <c r="E84" i="1" l="1"/>
  <c r="E82" i="1"/>
  <c r="F82" i="1"/>
  <c r="AG20" i="1"/>
  <c r="AH20" i="1"/>
  <c r="AI20" i="1"/>
  <c r="AE33" i="13"/>
  <c r="AD33" i="13"/>
  <c r="AC33" i="13"/>
  <c r="AB33" i="13"/>
  <c r="AA33" i="13"/>
  <c r="Z33" i="13"/>
  <c r="Y33" i="13"/>
  <c r="X33" i="13"/>
  <c r="W33" i="13"/>
  <c r="V33" i="13"/>
  <c r="U33" i="13"/>
  <c r="T33" i="13"/>
  <c r="S33" i="13"/>
  <c r="R33" i="13"/>
  <c r="Q33" i="13"/>
  <c r="P33" i="13"/>
  <c r="O33" i="13"/>
  <c r="N33" i="13"/>
  <c r="M33" i="13"/>
  <c r="L33" i="13"/>
  <c r="K33" i="13"/>
  <c r="J33" i="13"/>
  <c r="I33" i="13"/>
  <c r="H33" i="13"/>
  <c r="G33" i="13"/>
  <c r="F33" i="13"/>
  <c r="E33" i="13"/>
  <c r="C33" i="13"/>
  <c r="AF33" i="13"/>
  <c r="AG14" i="5" l="1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9" i="5"/>
  <c r="C52" i="5" s="1"/>
  <c r="C50" i="5" l="1"/>
  <c r="C55" i="5" s="1"/>
  <c r="F24" i="1" s="1"/>
  <c r="AF38" i="13" l="1"/>
  <c r="AE38" i="13"/>
  <c r="AD38" i="13"/>
  <c r="AC38" i="13"/>
  <c r="AB38" i="13"/>
  <c r="AA38" i="13"/>
  <c r="Z38" i="13"/>
  <c r="Y38" i="13"/>
  <c r="X38" i="13"/>
  <c r="W38" i="13"/>
  <c r="V38" i="13"/>
  <c r="U38" i="13"/>
  <c r="T38" i="13"/>
  <c r="S38" i="13"/>
  <c r="R38" i="13"/>
  <c r="Q38" i="13"/>
  <c r="P38" i="13"/>
  <c r="O38" i="13"/>
  <c r="N38" i="13"/>
  <c r="M38" i="13"/>
  <c r="L38" i="13"/>
  <c r="K38" i="13"/>
  <c r="J38" i="13"/>
  <c r="I38" i="13"/>
  <c r="H38" i="13"/>
  <c r="G38" i="13"/>
  <c r="F38" i="13"/>
  <c r="E38" i="13"/>
  <c r="D38" i="13"/>
  <c r="C38" i="13"/>
  <c r="AF54" i="6"/>
  <c r="AE54" i="6"/>
  <c r="AD54" i="6"/>
  <c r="AC54" i="6"/>
  <c r="AB54" i="6"/>
  <c r="AA54" i="6"/>
  <c r="Z54" i="6"/>
  <c r="Y54" i="6"/>
  <c r="X54" i="6"/>
  <c r="W54" i="6"/>
  <c r="V54" i="6"/>
  <c r="U54" i="6"/>
  <c r="T54" i="6"/>
  <c r="S54" i="6"/>
  <c r="R54" i="6"/>
  <c r="Q54" i="6"/>
  <c r="P54" i="6"/>
  <c r="O54" i="6"/>
  <c r="N54" i="6"/>
  <c r="M54" i="6"/>
  <c r="L54" i="6"/>
  <c r="K54" i="6"/>
  <c r="J54" i="6"/>
  <c r="I54" i="6"/>
  <c r="H54" i="6"/>
  <c r="G54" i="6"/>
  <c r="F54" i="6"/>
  <c r="E54" i="6"/>
  <c r="C54" i="6"/>
  <c r="AA44" i="6"/>
  <c r="AA56" i="6" s="1"/>
  <c r="AA57" i="6" s="1"/>
  <c r="AA60" i="6" s="1"/>
  <c r="AA61" i="6" s="1"/>
  <c r="Z44" i="6"/>
  <c r="Z56" i="6" s="1"/>
  <c r="Z57" i="6" s="1"/>
  <c r="Z60" i="6" s="1"/>
  <c r="Z61" i="6" s="1"/>
  <c r="S44" i="6"/>
  <c r="S56" i="6" s="1"/>
  <c r="S57" i="6" s="1"/>
  <c r="S60" i="6" s="1"/>
  <c r="S61" i="6" s="1"/>
  <c r="Q44" i="6"/>
  <c r="Q56" i="6" s="1"/>
  <c r="Q57" i="6" s="1"/>
  <c r="Q60" i="6" s="1"/>
  <c r="Q61" i="6" s="1"/>
  <c r="I44" i="6"/>
  <c r="I56" i="6" s="1"/>
  <c r="I57" i="6" s="1"/>
  <c r="I60" i="6" s="1"/>
  <c r="I61" i="6" s="1"/>
  <c r="D44" i="6"/>
  <c r="D56" i="6" s="1"/>
  <c r="D57" i="6" s="1"/>
  <c r="D60" i="6" s="1"/>
  <c r="D61" i="6" s="1"/>
  <c r="AF42" i="6"/>
  <c r="AE42" i="6"/>
  <c r="AD42" i="6"/>
  <c r="AC42" i="6"/>
  <c r="AB42" i="6"/>
  <c r="AA42" i="6"/>
  <c r="Z42" i="6"/>
  <c r="Y42" i="6"/>
  <c r="X42" i="6"/>
  <c r="W42" i="6"/>
  <c r="V42" i="6"/>
  <c r="U42" i="6"/>
  <c r="T42" i="6"/>
  <c r="S42" i="6"/>
  <c r="R42" i="6"/>
  <c r="Q42" i="6"/>
  <c r="P42" i="6"/>
  <c r="O42" i="6"/>
  <c r="N42" i="6"/>
  <c r="M42" i="6"/>
  <c r="L42" i="6"/>
  <c r="K42" i="6"/>
  <c r="J42" i="6"/>
  <c r="I42" i="6"/>
  <c r="H42" i="6"/>
  <c r="G42" i="6"/>
  <c r="F42" i="6"/>
  <c r="E42" i="6"/>
  <c r="D42" i="6"/>
  <c r="C42" i="6"/>
  <c r="AF31" i="6"/>
  <c r="AF44" i="6" s="1"/>
  <c r="AF56" i="6" s="1"/>
  <c r="AF57" i="6" s="1"/>
  <c r="AF60" i="6" s="1"/>
  <c r="AF61" i="6" s="1"/>
  <c r="AE31" i="6"/>
  <c r="AE44" i="6" s="1"/>
  <c r="AE56" i="6" s="1"/>
  <c r="AE57" i="6" s="1"/>
  <c r="AE60" i="6" s="1"/>
  <c r="AE61" i="6" s="1"/>
  <c r="AD31" i="6"/>
  <c r="AC31" i="6"/>
  <c r="AB31" i="6"/>
  <c r="AA31" i="6"/>
  <c r="Z31" i="6"/>
  <c r="Y31" i="6"/>
  <c r="X31" i="6"/>
  <c r="X44" i="6" s="1"/>
  <c r="X56" i="6" s="1"/>
  <c r="X57" i="6" s="1"/>
  <c r="X60" i="6" s="1"/>
  <c r="X61" i="6" s="1"/>
  <c r="W31" i="6"/>
  <c r="W44" i="6" s="1"/>
  <c r="W56" i="6" s="1"/>
  <c r="W57" i="6" s="1"/>
  <c r="W60" i="6" s="1"/>
  <c r="W61" i="6" s="1"/>
  <c r="V31" i="6"/>
  <c r="U31" i="6"/>
  <c r="T31" i="6"/>
  <c r="S31" i="6"/>
  <c r="R31" i="6"/>
  <c r="Q31" i="6"/>
  <c r="P31" i="6"/>
  <c r="P44" i="6" s="1"/>
  <c r="P56" i="6" s="1"/>
  <c r="P57" i="6" s="1"/>
  <c r="P60" i="6" s="1"/>
  <c r="P61" i="6" s="1"/>
  <c r="O31" i="6"/>
  <c r="O44" i="6" s="1"/>
  <c r="O56" i="6" s="1"/>
  <c r="O57" i="6" s="1"/>
  <c r="O60" i="6" s="1"/>
  <c r="O61" i="6" s="1"/>
  <c r="N31" i="6"/>
  <c r="M31" i="6"/>
  <c r="L31" i="6"/>
  <c r="K31" i="6"/>
  <c r="J31" i="6"/>
  <c r="I31" i="6"/>
  <c r="H31" i="6"/>
  <c r="H44" i="6" s="1"/>
  <c r="H56" i="6" s="1"/>
  <c r="H57" i="6" s="1"/>
  <c r="H60" i="6" s="1"/>
  <c r="H61" i="6" s="1"/>
  <c r="G31" i="6"/>
  <c r="G44" i="6" s="1"/>
  <c r="G56" i="6" s="1"/>
  <c r="G57" i="6" s="1"/>
  <c r="G60" i="6" s="1"/>
  <c r="G61" i="6" s="1"/>
  <c r="F31" i="6"/>
  <c r="E31" i="6"/>
  <c r="D31" i="6"/>
  <c r="C31" i="6"/>
  <c r="AF29" i="6"/>
  <c r="AE29" i="6"/>
  <c r="AD29" i="6"/>
  <c r="AD44" i="6" s="1"/>
  <c r="AD56" i="6" s="1"/>
  <c r="AD57" i="6" s="1"/>
  <c r="AD60" i="6" s="1"/>
  <c r="AD61" i="6" s="1"/>
  <c r="AC29" i="6"/>
  <c r="AC44" i="6" s="1"/>
  <c r="AC56" i="6" s="1"/>
  <c r="AC57" i="6" s="1"/>
  <c r="AC60" i="6" s="1"/>
  <c r="AC61" i="6" s="1"/>
  <c r="AB29" i="6"/>
  <c r="AB44" i="6" s="1"/>
  <c r="AB56" i="6" s="1"/>
  <c r="AB57" i="6" s="1"/>
  <c r="AB60" i="6" s="1"/>
  <c r="AB61" i="6" s="1"/>
  <c r="AA29" i="6"/>
  <c r="Z29" i="6"/>
  <c r="Y29" i="6"/>
  <c r="Y44" i="6" s="1"/>
  <c r="Y56" i="6" s="1"/>
  <c r="Y57" i="6" s="1"/>
  <c r="Y60" i="6" s="1"/>
  <c r="Y61" i="6" s="1"/>
  <c r="X29" i="6"/>
  <c r="W29" i="6"/>
  <c r="V29" i="6"/>
  <c r="V44" i="6" s="1"/>
  <c r="V56" i="6" s="1"/>
  <c r="V57" i="6" s="1"/>
  <c r="V60" i="6" s="1"/>
  <c r="V61" i="6" s="1"/>
  <c r="U29" i="6"/>
  <c r="U44" i="6" s="1"/>
  <c r="U56" i="6" s="1"/>
  <c r="U57" i="6" s="1"/>
  <c r="U60" i="6" s="1"/>
  <c r="U61" i="6" s="1"/>
  <c r="T29" i="6"/>
  <c r="T44" i="6" s="1"/>
  <c r="T56" i="6" s="1"/>
  <c r="T57" i="6" s="1"/>
  <c r="T60" i="6" s="1"/>
  <c r="T61" i="6" s="1"/>
  <c r="S29" i="6"/>
  <c r="R29" i="6"/>
  <c r="R44" i="6" s="1"/>
  <c r="R56" i="6" s="1"/>
  <c r="R57" i="6" s="1"/>
  <c r="R60" i="6" s="1"/>
  <c r="R61" i="6" s="1"/>
  <c r="Q29" i="6"/>
  <c r="P29" i="6"/>
  <c r="O29" i="6"/>
  <c r="N29" i="6"/>
  <c r="N44" i="6" s="1"/>
  <c r="N56" i="6" s="1"/>
  <c r="N57" i="6" s="1"/>
  <c r="N60" i="6" s="1"/>
  <c r="N61" i="6" s="1"/>
  <c r="M29" i="6"/>
  <c r="M44" i="6" s="1"/>
  <c r="M56" i="6" s="1"/>
  <c r="M57" i="6" s="1"/>
  <c r="M60" i="6" s="1"/>
  <c r="M61" i="6" s="1"/>
  <c r="L29" i="6"/>
  <c r="L44" i="6" s="1"/>
  <c r="L56" i="6" s="1"/>
  <c r="L57" i="6" s="1"/>
  <c r="L60" i="6" s="1"/>
  <c r="L61" i="6" s="1"/>
  <c r="K29" i="6"/>
  <c r="K44" i="6" s="1"/>
  <c r="K56" i="6" s="1"/>
  <c r="K57" i="6" s="1"/>
  <c r="K60" i="6" s="1"/>
  <c r="K61" i="6" s="1"/>
  <c r="J29" i="6"/>
  <c r="J44" i="6" s="1"/>
  <c r="J56" i="6" s="1"/>
  <c r="J57" i="6" s="1"/>
  <c r="J60" i="6" s="1"/>
  <c r="J61" i="6" s="1"/>
  <c r="I29" i="6"/>
  <c r="H29" i="6"/>
  <c r="G29" i="6"/>
  <c r="F29" i="6"/>
  <c r="F44" i="6" s="1"/>
  <c r="F56" i="6" s="1"/>
  <c r="F57" i="6" s="1"/>
  <c r="F60" i="6" s="1"/>
  <c r="F61" i="6" s="1"/>
  <c r="E29" i="6"/>
  <c r="E44" i="6" s="1"/>
  <c r="E56" i="6" s="1"/>
  <c r="E57" i="6" s="1"/>
  <c r="E60" i="6" s="1"/>
  <c r="E61" i="6" s="1"/>
  <c r="D29" i="6"/>
  <c r="C29" i="6"/>
  <c r="C44" i="6" s="1"/>
  <c r="C56" i="6" s="1"/>
  <c r="C57" i="6" s="1"/>
  <c r="C60" i="6" s="1"/>
  <c r="C61" i="6" s="1"/>
  <c r="AD49" i="13" l="1"/>
  <c r="AE49" i="13"/>
  <c r="AF49" i="13"/>
  <c r="AF51" i="13" l="1"/>
  <c r="AF63" i="13" s="1"/>
  <c r="AF64" i="13" s="1"/>
  <c r="AD51" i="13"/>
  <c r="AD63" i="13" s="1"/>
  <c r="AD64" i="13" s="1"/>
  <c r="AD67" i="13" s="1"/>
  <c r="AE51" i="13"/>
  <c r="AE63" i="13" s="1"/>
  <c r="AE64" i="13" s="1"/>
  <c r="AE67" i="13" s="1"/>
  <c r="AC49" i="13"/>
  <c r="AB49" i="13"/>
  <c r="AA49" i="13"/>
  <c r="Z49" i="13"/>
  <c r="Y49" i="13"/>
  <c r="X49" i="13"/>
  <c r="W49" i="13"/>
  <c r="V49" i="13"/>
  <c r="U49" i="13"/>
  <c r="T49" i="13"/>
  <c r="S49" i="13"/>
  <c r="R49" i="13"/>
  <c r="Q49" i="13"/>
  <c r="P49" i="13"/>
  <c r="O49" i="13"/>
  <c r="N49" i="13"/>
  <c r="M49" i="13"/>
  <c r="L49" i="13"/>
  <c r="K49" i="13"/>
  <c r="J49" i="13"/>
  <c r="I49" i="13"/>
  <c r="H49" i="13"/>
  <c r="G49" i="13"/>
  <c r="F49" i="13"/>
  <c r="E49" i="13"/>
  <c r="D49" i="13"/>
  <c r="C49" i="13"/>
  <c r="E50" i="5"/>
  <c r="F50" i="5"/>
  <c r="G50" i="5"/>
  <c r="H50" i="5"/>
  <c r="I50" i="5"/>
  <c r="J50" i="5"/>
  <c r="K50" i="5"/>
  <c r="L50" i="5"/>
  <c r="M50" i="5"/>
  <c r="N50" i="5"/>
  <c r="O50" i="5"/>
  <c r="P50" i="5"/>
  <c r="Q50" i="5"/>
  <c r="R50" i="5"/>
  <c r="S50" i="5"/>
  <c r="T50" i="5"/>
  <c r="U50" i="5"/>
  <c r="V50" i="5"/>
  <c r="W50" i="5"/>
  <c r="X50" i="5"/>
  <c r="Y50" i="5"/>
  <c r="Z50" i="5"/>
  <c r="AA50" i="5"/>
  <c r="AB50" i="5"/>
  <c r="AC50" i="5"/>
  <c r="AD50" i="5"/>
  <c r="AE50" i="5"/>
  <c r="AF50" i="5"/>
  <c r="G82" i="1" s="1"/>
  <c r="D50" i="5"/>
  <c r="AF67" i="13" l="1"/>
  <c r="AI22" i="1" s="1"/>
  <c r="F84" i="1"/>
  <c r="AE68" i="13"/>
  <c r="AH22" i="1"/>
  <c r="AD68" i="13"/>
  <c r="AG22" i="1"/>
  <c r="AF68" i="13"/>
  <c r="O51" i="13"/>
  <c r="O63" i="13" s="1"/>
  <c r="O64" i="13" s="1"/>
  <c r="O67" i="13" s="1"/>
  <c r="J51" i="13"/>
  <c r="J63" i="13" s="1"/>
  <c r="J64" i="13" s="1"/>
  <c r="J67" i="13" s="1"/>
  <c r="R51" i="13"/>
  <c r="R63" i="13" s="1"/>
  <c r="R64" i="13" s="1"/>
  <c r="R67" i="13" s="1"/>
  <c r="Z51" i="13"/>
  <c r="Z63" i="13" s="1"/>
  <c r="Z64" i="13" s="1"/>
  <c r="Z67" i="13" s="1"/>
  <c r="G51" i="13"/>
  <c r="G63" i="13" s="1"/>
  <c r="G64" i="13" s="1"/>
  <c r="G67" i="13" s="1"/>
  <c r="F51" i="13"/>
  <c r="F63" i="13" s="1"/>
  <c r="F64" i="13" s="1"/>
  <c r="F67" i="13" s="1"/>
  <c r="N51" i="13"/>
  <c r="N63" i="13" s="1"/>
  <c r="N64" i="13" s="1"/>
  <c r="N67" i="13" s="1"/>
  <c r="V51" i="13"/>
  <c r="V63" i="13" s="1"/>
  <c r="V64" i="13" s="1"/>
  <c r="V67" i="13" s="1"/>
  <c r="H51" i="13"/>
  <c r="H63" i="13" s="1"/>
  <c r="H64" i="13" s="1"/>
  <c r="H67" i="13" s="1"/>
  <c r="P51" i="13"/>
  <c r="P63" i="13" s="1"/>
  <c r="P64" i="13" s="1"/>
  <c r="P67" i="13" s="1"/>
  <c r="X51" i="13"/>
  <c r="X63" i="13" s="1"/>
  <c r="X64" i="13" s="1"/>
  <c r="X67" i="13" s="1"/>
  <c r="E51" i="13"/>
  <c r="E63" i="13" s="1"/>
  <c r="E64" i="13" s="1"/>
  <c r="E67" i="13" s="1"/>
  <c r="K51" i="13"/>
  <c r="K63" i="13" s="1"/>
  <c r="K64" i="13" s="1"/>
  <c r="K67" i="13" s="1"/>
  <c r="D51" i="13"/>
  <c r="D63" i="13" s="1"/>
  <c r="D64" i="13" s="1"/>
  <c r="D67" i="13" s="1"/>
  <c r="T51" i="13"/>
  <c r="T63" i="13" s="1"/>
  <c r="T64" i="13" s="1"/>
  <c r="T67" i="13" s="1"/>
  <c r="AB51" i="13"/>
  <c r="AB63" i="13" s="1"/>
  <c r="AB64" i="13" s="1"/>
  <c r="AB67" i="13" s="1"/>
  <c r="M51" i="13"/>
  <c r="M63" i="13" s="1"/>
  <c r="M64" i="13" s="1"/>
  <c r="M67" i="13" s="1"/>
  <c r="U51" i="13"/>
  <c r="U63" i="13" s="1"/>
  <c r="U64" i="13" s="1"/>
  <c r="U67" i="13" s="1"/>
  <c r="L51" i="13"/>
  <c r="L63" i="13" s="1"/>
  <c r="L64" i="13" s="1"/>
  <c r="L67" i="13" s="1"/>
  <c r="AA51" i="13"/>
  <c r="AA63" i="13" s="1"/>
  <c r="AA64" i="13" s="1"/>
  <c r="AA67" i="13" s="1"/>
  <c r="W51" i="13"/>
  <c r="W63" i="13" s="1"/>
  <c r="W64" i="13" s="1"/>
  <c r="W67" i="13" s="1"/>
  <c r="S51" i="13"/>
  <c r="S63" i="13" s="1"/>
  <c r="S64" i="13" s="1"/>
  <c r="S67" i="13" s="1"/>
  <c r="C51" i="13"/>
  <c r="C63" i="13" s="1"/>
  <c r="C64" i="13" s="1"/>
  <c r="C67" i="13" s="1"/>
  <c r="I51" i="13"/>
  <c r="I63" i="13" s="1"/>
  <c r="I64" i="13" s="1"/>
  <c r="I67" i="13" s="1"/>
  <c r="Y51" i="13"/>
  <c r="Y63" i="13" s="1"/>
  <c r="Y64" i="13" s="1"/>
  <c r="Y67" i="13" s="1"/>
  <c r="Q51" i="13"/>
  <c r="Q63" i="13" s="1"/>
  <c r="Q64" i="13" s="1"/>
  <c r="Q67" i="13" s="1"/>
  <c r="AC51" i="13"/>
  <c r="AC63" i="13" s="1"/>
  <c r="AC64" i="13" s="1"/>
  <c r="AC67" i="13" s="1"/>
  <c r="C68" i="13" l="1"/>
  <c r="F22" i="1"/>
  <c r="T68" i="13"/>
  <c r="W22" i="1"/>
  <c r="N68" i="13"/>
  <c r="Q22" i="1"/>
  <c r="AB68" i="13"/>
  <c r="AE22" i="1"/>
  <c r="D68" i="13"/>
  <c r="G22" i="1"/>
  <c r="F68" i="13"/>
  <c r="I22" i="1"/>
  <c r="G68" i="13"/>
  <c r="J22" i="1"/>
  <c r="AC68" i="13"/>
  <c r="AF22" i="1"/>
  <c r="L68" i="13"/>
  <c r="O22" i="1"/>
  <c r="X68" i="13"/>
  <c r="AA22" i="1"/>
  <c r="R68" i="13"/>
  <c r="U22" i="1"/>
  <c r="V68" i="13"/>
  <c r="Y22" i="1"/>
  <c r="W68" i="13"/>
  <c r="Z22" i="1"/>
  <c r="AA68" i="13"/>
  <c r="AD22" i="1"/>
  <c r="Q68" i="13"/>
  <c r="T22" i="1"/>
  <c r="J68" i="13"/>
  <c r="M22" i="1"/>
  <c r="I68" i="13"/>
  <c r="L22" i="1"/>
  <c r="S68" i="13"/>
  <c r="V22" i="1"/>
  <c r="K68" i="13"/>
  <c r="N22" i="1"/>
  <c r="E68" i="13"/>
  <c r="H22" i="1"/>
  <c r="Z68" i="13"/>
  <c r="AC22" i="1"/>
  <c r="U68" i="13"/>
  <c r="X22" i="1"/>
  <c r="P68" i="13"/>
  <c r="S22" i="1"/>
  <c r="Y68" i="13"/>
  <c r="AB22" i="1"/>
  <c r="M68" i="13"/>
  <c r="P22" i="1"/>
  <c r="H68" i="13"/>
  <c r="K22" i="1"/>
  <c r="O68" i="13"/>
  <c r="R22" i="1"/>
  <c r="AC17" i="12" l="1"/>
  <c r="AC19" i="12" s="1"/>
  <c r="AC57" i="12"/>
  <c r="AC30" i="12"/>
  <c r="AC61" i="12" s="1"/>
  <c r="AC59" i="12"/>
  <c r="AC53" i="12" l="1"/>
  <c r="AC55" i="12"/>
  <c r="AC63" i="12"/>
  <c r="AC65" i="12" s="1"/>
  <c r="AC68" i="12" l="1"/>
  <c r="AF30" i="1"/>
  <c r="AF54" i="1" s="1"/>
  <c r="AG30" i="1" l="1"/>
  <c r="AG54" i="1" s="1"/>
  <c r="AI30" i="1" l="1"/>
  <c r="AI54" i="1" s="1"/>
  <c r="N84" i="1"/>
  <c r="AH30" i="1"/>
  <c r="AH54" i="1" s="1"/>
  <c r="AF20" i="1"/>
  <c r="C30" i="12" l="1"/>
  <c r="C61" i="12" s="1"/>
  <c r="D59" i="12"/>
  <c r="E59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R59" i="12"/>
  <c r="S59" i="12"/>
  <c r="T59" i="12"/>
  <c r="U59" i="12"/>
  <c r="V59" i="12"/>
  <c r="W59" i="12"/>
  <c r="X59" i="12"/>
  <c r="Y59" i="12"/>
  <c r="Z59" i="12"/>
  <c r="AA59" i="12"/>
  <c r="AB59" i="12"/>
  <c r="C59" i="12"/>
  <c r="C57" i="12" l="1"/>
  <c r="Y19" i="5" l="1"/>
  <c r="AC19" i="5" l="1"/>
  <c r="AC52" i="5" s="1"/>
  <c r="AC55" i="5" s="1"/>
  <c r="Z29" i="12"/>
  <c r="Y29" i="12"/>
  <c r="X29" i="12"/>
  <c r="W29" i="12"/>
  <c r="V29" i="12"/>
  <c r="V30" i="12" s="1"/>
  <c r="V61" i="12" s="1"/>
  <c r="U29" i="12"/>
  <c r="T29" i="12"/>
  <c r="S29" i="12"/>
  <c r="R29" i="12"/>
  <c r="Q29" i="12"/>
  <c r="Q30" i="12" s="1"/>
  <c r="Q61" i="12" s="1"/>
  <c r="P29" i="12"/>
  <c r="P30" i="12" s="1"/>
  <c r="P61" i="12" s="1"/>
  <c r="O29" i="12"/>
  <c r="O30" i="12" s="1"/>
  <c r="O61" i="12" s="1"/>
  <c r="N29" i="12"/>
  <c r="N30" i="12" s="1"/>
  <c r="N61" i="12" s="1"/>
  <c r="M29" i="12"/>
  <c r="M30" i="12" s="1"/>
  <c r="M61" i="12" s="1"/>
  <c r="L29" i="12"/>
  <c r="K29" i="12"/>
  <c r="K30" i="12" s="1"/>
  <c r="K61" i="12" s="1"/>
  <c r="J29" i="12"/>
  <c r="J30" i="12" s="1"/>
  <c r="J61" i="12" s="1"/>
  <c r="I29" i="12"/>
  <c r="I30" i="12" s="1"/>
  <c r="I61" i="12" s="1"/>
  <c r="H29" i="12"/>
  <c r="H30" i="12" s="1"/>
  <c r="H61" i="12" s="1"/>
  <c r="G29" i="12"/>
  <c r="G30" i="12" s="1"/>
  <c r="G61" i="12" s="1"/>
  <c r="F29" i="12"/>
  <c r="F30" i="12" s="1"/>
  <c r="F61" i="12" s="1"/>
  <c r="E29" i="12"/>
  <c r="E30" i="12" s="1"/>
  <c r="E61" i="12" s="1"/>
  <c r="D29" i="12"/>
  <c r="D30" i="12" s="1"/>
  <c r="D61" i="12" s="1"/>
  <c r="AB30" i="12"/>
  <c r="AB61" i="12" s="1"/>
  <c r="AA30" i="12"/>
  <c r="AA61" i="12" s="1"/>
  <c r="Y30" i="12"/>
  <c r="Y61" i="12" s="1"/>
  <c r="AB57" i="12"/>
  <c r="Z57" i="12"/>
  <c r="Y57" i="12"/>
  <c r="X57" i="12"/>
  <c r="W57" i="12"/>
  <c r="V57" i="12"/>
  <c r="U57" i="12"/>
  <c r="T57" i="12"/>
  <c r="R57" i="12"/>
  <c r="Q57" i="12"/>
  <c r="P57" i="12"/>
  <c r="L57" i="12"/>
  <c r="J57" i="12"/>
  <c r="I57" i="12"/>
  <c r="H57" i="12"/>
  <c r="D57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P17" i="12"/>
  <c r="O17" i="12"/>
  <c r="N17" i="12"/>
  <c r="M17" i="12"/>
  <c r="L17" i="12"/>
  <c r="K17" i="12"/>
  <c r="J17" i="12"/>
  <c r="I17" i="12"/>
  <c r="H17" i="12"/>
  <c r="G17" i="12"/>
  <c r="F17" i="12"/>
  <c r="E17" i="12"/>
  <c r="D17" i="12"/>
  <c r="AD19" i="5" l="1"/>
  <c r="AD52" i="5" s="1"/>
  <c r="AD55" i="5" s="1"/>
  <c r="AG24" i="1" s="1"/>
  <c r="AG56" i="1" s="1"/>
  <c r="AF24" i="1"/>
  <c r="AF56" i="1" s="1"/>
  <c r="P19" i="12"/>
  <c r="G19" i="12"/>
  <c r="Q19" i="12"/>
  <c r="R19" i="12"/>
  <c r="K19" i="12"/>
  <c r="S19" i="12"/>
  <c r="AA19" i="12"/>
  <c r="H19" i="12"/>
  <c r="L19" i="12"/>
  <c r="AB19" i="12"/>
  <c r="X19" i="12"/>
  <c r="I19" i="12"/>
  <c r="J19" i="12"/>
  <c r="D19" i="12"/>
  <c r="E19" i="12"/>
  <c r="Y19" i="12"/>
  <c r="Z19" i="12"/>
  <c r="T19" i="12"/>
  <c r="M19" i="12"/>
  <c r="U19" i="12"/>
  <c r="F19" i="12"/>
  <c r="N19" i="12"/>
  <c r="V19" i="12"/>
  <c r="O19" i="12"/>
  <c r="W19" i="12"/>
  <c r="G57" i="12"/>
  <c r="G65" i="12" s="1"/>
  <c r="K57" i="12"/>
  <c r="S57" i="12"/>
  <c r="AA57" i="12"/>
  <c r="O63" i="12"/>
  <c r="O57" i="12"/>
  <c r="E57" i="12"/>
  <c r="M57" i="12"/>
  <c r="L30" i="12"/>
  <c r="L61" i="12" s="1"/>
  <c r="L65" i="12" s="1"/>
  <c r="F57" i="12"/>
  <c r="F65" i="12" s="1"/>
  <c r="N63" i="12"/>
  <c r="N57" i="12"/>
  <c r="N65" i="12" s="1"/>
  <c r="C63" i="12"/>
  <c r="U63" i="12"/>
  <c r="L63" i="12"/>
  <c r="H63" i="12"/>
  <c r="H65" i="12" s="1"/>
  <c r="Q63" i="12"/>
  <c r="Q65" i="12" s="1"/>
  <c r="X30" i="12"/>
  <c r="X61" i="12" s="1"/>
  <c r="R30" i="12"/>
  <c r="R61" i="12" s="1"/>
  <c r="Z30" i="12"/>
  <c r="Z61" i="12" s="1"/>
  <c r="S30" i="12"/>
  <c r="S61" i="12" s="1"/>
  <c r="G63" i="12"/>
  <c r="U30" i="12"/>
  <c r="U61" i="12" s="1"/>
  <c r="U65" i="12" s="1"/>
  <c r="T30" i="12"/>
  <c r="T61" i="12" s="1"/>
  <c r="F63" i="12"/>
  <c r="W30" i="12"/>
  <c r="W61" i="12" s="1"/>
  <c r="C65" i="12" l="1"/>
  <c r="C68" i="12"/>
  <c r="F30" i="1" s="1"/>
  <c r="F54" i="1" s="1"/>
  <c r="O65" i="12"/>
  <c r="D53" i="12"/>
  <c r="D55" i="12"/>
  <c r="U53" i="12"/>
  <c r="U55" i="12"/>
  <c r="I53" i="12"/>
  <c r="I55" i="12"/>
  <c r="R53" i="12"/>
  <c r="R55" i="12"/>
  <c r="K53" i="12"/>
  <c r="K55" i="12"/>
  <c r="S53" i="12"/>
  <c r="S55" i="12"/>
  <c r="Q53" i="12"/>
  <c r="Q55" i="12"/>
  <c r="Z53" i="12"/>
  <c r="Z55" i="12"/>
  <c r="L53" i="12"/>
  <c r="L55" i="12"/>
  <c r="P53" i="12"/>
  <c r="P55" i="12"/>
  <c r="J53" i="12"/>
  <c r="J55" i="12"/>
  <c r="X53" i="12"/>
  <c r="X55" i="12"/>
  <c r="T53" i="12"/>
  <c r="T55" i="12"/>
  <c r="G53" i="12"/>
  <c r="G55" i="12"/>
  <c r="W53" i="12"/>
  <c r="W55" i="12"/>
  <c r="O53" i="12"/>
  <c r="O55" i="12"/>
  <c r="Y53" i="12"/>
  <c r="Y55" i="12"/>
  <c r="H53" i="12"/>
  <c r="H55" i="12"/>
  <c r="N53" i="12"/>
  <c r="N55" i="12"/>
  <c r="F53" i="12"/>
  <c r="F55" i="12"/>
  <c r="M53" i="12"/>
  <c r="M55" i="12"/>
  <c r="AB53" i="12"/>
  <c r="AB55" i="12"/>
  <c r="V53" i="12"/>
  <c r="V55" i="12"/>
  <c r="E53" i="12"/>
  <c r="E55" i="12"/>
  <c r="AA53" i="12"/>
  <c r="AA55" i="12"/>
  <c r="K63" i="12"/>
  <c r="K65" i="12" s="1"/>
  <c r="E63" i="12"/>
  <c r="E65" i="12" s="1"/>
  <c r="AE19" i="5"/>
  <c r="AE52" i="5" s="1"/>
  <c r="AE55" i="5" s="1"/>
  <c r="AH24" i="1" s="1"/>
  <c r="AH56" i="1" s="1"/>
  <c r="M63" i="12"/>
  <c r="M65" i="12" s="1"/>
  <c r="V63" i="12"/>
  <c r="V65" i="12" s="1"/>
  <c r="X63" i="12"/>
  <c r="X65" i="12" s="1"/>
  <c r="I63" i="12"/>
  <c r="I65" i="12" s="1"/>
  <c r="J63" i="12"/>
  <c r="J65" i="12" s="1"/>
  <c r="Z63" i="12"/>
  <c r="Z65" i="12" s="1"/>
  <c r="R63" i="12"/>
  <c r="R65" i="12" s="1"/>
  <c r="Y63" i="12"/>
  <c r="Y65" i="12" s="1"/>
  <c r="P63" i="12"/>
  <c r="P65" i="12" s="1"/>
  <c r="AB63" i="12"/>
  <c r="AB65" i="12" s="1"/>
  <c r="T63" i="12"/>
  <c r="T65" i="12" s="1"/>
  <c r="S63" i="12"/>
  <c r="S65" i="12" s="1"/>
  <c r="W63" i="12"/>
  <c r="W65" i="12" s="1"/>
  <c r="AA63" i="12"/>
  <c r="AA65" i="12" s="1"/>
  <c r="R68" i="12" l="1"/>
  <c r="X68" i="12"/>
  <c r="Z68" i="12"/>
  <c r="AC30" i="1" s="1"/>
  <c r="AC54" i="1" s="1"/>
  <c r="E68" i="12"/>
  <c r="H30" i="1" s="1"/>
  <c r="H54" i="1" s="1"/>
  <c r="I68" i="12"/>
  <c r="J68" i="12"/>
  <c r="M30" i="1" s="1"/>
  <c r="M54" i="1" s="1"/>
  <c r="G68" i="12"/>
  <c r="J30" i="1" s="1"/>
  <c r="J54" i="1" s="1"/>
  <c r="W68" i="12"/>
  <c r="Z30" i="1" s="1"/>
  <c r="Z54" i="1" s="1"/>
  <c r="P68" i="12"/>
  <c r="S30" i="1" s="1"/>
  <c r="S54" i="1" s="1"/>
  <c r="U68" i="12"/>
  <c r="X30" i="1" s="1"/>
  <c r="X54" i="1" s="1"/>
  <c r="V68" i="12"/>
  <c r="Y30" i="1" s="1"/>
  <c r="Y54" i="1" s="1"/>
  <c r="Q68" i="12"/>
  <c r="T30" i="1" s="1"/>
  <c r="T54" i="1" s="1"/>
  <c r="AB68" i="12"/>
  <c r="AE30" i="1" s="1"/>
  <c r="AE54" i="1" s="1"/>
  <c r="H68" i="12"/>
  <c r="K30" i="1" s="1"/>
  <c r="K54" i="1" s="1"/>
  <c r="S68" i="12"/>
  <c r="V30" i="1" s="1"/>
  <c r="V54" i="1" s="1"/>
  <c r="AA68" i="12"/>
  <c r="AD30" i="1" s="1"/>
  <c r="AD54" i="1" s="1"/>
  <c r="M68" i="12"/>
  <c r="P30" i="1" s="1"/>
  <c r="P54" i="1" s="1"/>
  <c r="Y68" i="12"/>
  <c r="T68" i="12"/>
  <c r="W30" i="1" s="1"/>
  <c r="W54" i="1" s="1"/>
  <c r="L68" i="12"/>
  <c r="O30" i="1" s="1"/>
  <c r="O54" i="1" s="1"/>
  <c r="K68" i="12"/>
  <c r="N30" i="1" s="1"/>
  <c r="N54" i="1" s="1"/>
  <c r="N68" i="12"/>
  <c r="Q30" i="1" s="1"/>
  <c r="Q54" i="1" s="1"/>
  <c r="F68" i="12"/>
  <c r="I30" i="1" s="1"/>
  <c r="I54" i="1" s="1"/>
  <c r="O68" i="12"/>
  <c r="R30" i="1" s="1"/>
  <c r="R54" i="1" s="1"/>
  <c r="U30" i="1"/>
  <c r="U54" i="1" s="1"/>
  <c r="AF19" i="5"/>
  <c r="AF52" i="5" s="1"/>
  <c r="AF55" i="5" s="1"/>
  <c r="AI24" i="1" s="1"/>
  <c r="AI56" i="1" s="1"/>
  <c r="AG19" i="5"/>
  <c r="AG52" i="5" s="1"/>
  <c r="AG55" i="5" s="1"/>
  <c r="AA30" i="1"/>
  <c r="AA54" i="1" s="1"/>
  <c r="L30" i="1"/>
  <c r="L54" i="1" s="1"/>
  <c r="D63" i="12"/>
  <c r="D65" i="12" s="1"/>
  <c r="AB30" i="1"/>
  <c r="AB54" i="1" s="1"/>
  <c r="D68" i="12" l="1"/>
  <c r="G30" i="1"/>
  <c r="G54" i="1" s="1"/>
  <c r="G84" i="1"/>
  <c r="F56" i="1" l="1"/>
  <c r="D19" i="5" l="1"/>
  <c r="D52" i="5" l="1"/>
  <c r="D55" i="5" s="1"/>
  <c r="G24" i="1" l="1"/>
  <c r="G56" i="1" s="1"/>
  <c r="H20" i="1" l="1"/>
  <c r="P20" i="1"/>
  <c r="X20" i="1"/>
  <c r="L20" i="1"/>
  <c r="T20" i="1"/>
  <c r="S20" i="1"/>
  <c r="K20" i="1"/>
  <c r="AA20" i="1"/>
  <c r="G20" i="1"/>
  <c r="O20" i="1"/>
  <c r="W20" i="1"/>
  <c r="N20" i="1"/>
  <c r="V20" i="1"/>
  <c r="Y20" i="1"/>
  <c r="I20" i="1"/>
  <c r="Q20" i="1"/>
  <c r="AB20" i="1"/>
  <c r="AC20" i="1"/>
  <c r="M20" i="1"/>
  <c r="U20" i="1"/>
  <c r="AD20" i="1"/>
  <c r="AE20" i="1"/>
  <c r="J20" i="1"/>
  <c r="R20" i="1"/>
  <c r="Z20" i="1"/>
  <c r="F20" i="1" l="1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 l="1"/>
  <c r="U52" i="5" s="1"/>
  <c r="U55" i="5" s="1"/>
  <c r="X19" i="5"/>
  <c r="X52" i="5" s="1"/>
  <c r="X55" i="5" s="1"/>
  <c r="Z19" i="5"/>
  <c r="Z52" i="5" s="1"/>
  <c r="Z55" i="5" s="1"/>
  <c r="AA19" i="5"/>
  <c r="AA52" i="5" s="1"/>
  <c r="AA55" i="5" s="1"/>
  <c r="AB19" i="5"/>
  <c r="AB52" i="5" s="1"/>
  <c r="AB55" i="5" s="1"/>
  <c r="T52" i="5"/>
  <c r="T55" i="5" s="1"/>
  <c r="H52" i="5"/>
  <c r="H55" i="5" s="1"/>
  <c r="S52" i="5"/>
  <c r="S55" i="5" s="1"/>
  <c r="O52" i="5"/>
  <c r="O55" i="5" s="1"/>
  <c r="K52" i="5"/>
  <c r="K55" i="5" s="1"/>
  <c r="G52" i="5"/>
  <c r="G55" i="5" s="1"/>
  <c r="P52" i="5"/>
  <c r="P55" i="5" s="1"/>
  <c r="R52" i="5"/>
  <c r="R55" i="5" s="1"/>
  <c r="N52" i="5"/>
  <c r="N55" i="5" s="1"/>
  <c r="J52" i="5"/>
  <c r="J55" i="5" s="1"/>
  <c r="F52" i="5"/>
  <c r="F55" i="5" s="1"/>
  <c r="L52" i="5"/>
  <c r="L55" i="5" s="1"/>
  <c r="Q52" i="5"/>
  <c r="Q55" i="5" s="1"/>
  <c r="M52" i="5"/>
  <c r="M55" i="5" s="1"/>
  <c r="I52" i="5"/>
  <c r="I55" i="5" s="1"/>
  <c r="E52" i="5"/>
  <c r="E55" i="5" s="1"/>
  <c r="W19" i="5" l="1"/>
  <c r="W52" i="5" s="1"/>
  <c r="W55" i="5" s="1"/>
  <c r="V19" i="5"/>
  <c r="V52" i="5" s="1"/>
  <c r="V55" i="5" s="1"/>
  <c r="Y52" i="5"/>
  <c r="Y55" i="5" s="1"/>
  <c r="J24" i="1"/>
  <c r="J56" i="1" s="1"/>
  <c r="S24" i="1"/>
  <c r="S56" i="1" s="1"/>
  <c r="W24" i="1"/>
  <c r="W56" i="1" s="1"/>
  <c r="N24" i="1"/>
  <c r="N56" i="1" s="1"/>
  <c r="K24" i="1"/>
  <c r="K56" i="1" s="1"/>
  <c r="H24" i="1"/>
  <c r="H56" i="1" s="1"/>
  <c r="AE24" i="1"/>
  <c r="AE56" i="1" s="1"/>
  <c r="Q24" i="1"/>
  <c r="Q56" i="1" s="1"/>
  <c r="U24" i="1"/>
  <c r="U56" i="1" s="1"/>
  <c r="L24" i="1"/>
  <c r="L56" i="1" s="1"/>
  <c r="I24" i="1"/>
  <c r="I56" i="1" s="1"/>
  <c r="T24" i="1"/>
  <c r="T56" i="1" s="1"/>
  <c r="O24" i="1"/>
  <c r="O56" i="1" s="1"/>
  <c r="M24" i="1"/>
  <c r="M56" i="1" s="1"/>
  <c r="R24" i="1"/>
  <c r="R56" i="1" s="1"/>
  <c r="V24" i="1"/>
  <c r="V56" i="1" s="1"/>
  <c r="X24" i="1"/>
  <c r="X56" i="1" s="1"/>
  <c r="AD24" i="1" l="1"/>
  <c r="AD56" i="1" s="1"/>
  <c r="Y24" i="1"/>
  <c r="Y56" i="1" s="1"/>
  <c r="Z24" i="1"/>
  <c r="Z56" i="1" s="1"/>
  <c r="AC24" i="1"/>
  <c r="AC56" i="1" s="1"/>
  <c r="AA24" i="1"/>
  <c r="AA56" i="1" s="1"/>
  <c r="AB24" i="1"/>
  <c r="AB56" i="1" s="1"/>
  <c r="P24" i="1"/>
  <c r="P56" i="1" s="1"/>
</calcChain>
</file>

<file path=xl/sharedStrings.xml><?xml version="1.0" encoding="utf-8"?>
<sst xmlns="http://schemas.openxmlformats.org/spreadsheetml/2006/main" count="367" uniqueCount="180">
  <si>
    <t>protein consumption</t>
  </si>
  <si>
    <t>2008-2015: SES2016 Kap. 6.7</t>
  </si>
  <si>
    <t>Nitrogen content of proteins</t>
  </si>
  <si>
    <t>[kg N / kg protein]</t>
  </si>
  <si>
    <t>[t / y]</t>
  </si>
  <si>
    <t>[kg N / y]</t>
  </si>
  <si>
    <r>
      <t>[kg N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O-N / y]</t>
    </r>
  </si>
  <si>
    <r>
      <t>[kg N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 / y]</t>
    </r>
  </si>
  <si>
    <t>population CH</t>
  </si>
  <si>
    <t>[inhab.]</t>
  </si>
  <si>
    <r>
      <t>[kg N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 / inhab. /y]</t>
    </r>
  </si>
  <si>
    <t>connection rate CH</t>
  </si>
  <si>
    <t>[inhab. connected / inhab. CH]</t>
  </si>
  <si>
    <t>emissions N2O from WWTP</t>
  </si>
  <si>
    <t>correction factor for co-discharged</t>
  </si>
  <si>
    <t>[-]</t>
  </si>
  <si>
    <t>2006 IPCC GL default value</t>
  </si>
  <si>
    <r>
      <t>[kg N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 /y]</t>
    </r>
  </si>
  <si>
    <t>correction factor for unconsumed protein</t>
  </si>
  <si>
    <t>Nitrogen in sewage</t>
  </si>
  <si>
    <t>Nitrogen removed at WWTP</t>
  </si>
  <si>
    <r>
      <t>[kg N</t>
    </r>
    <r>
      <rPr>
        <sz val="10"/>
        <color theme="1"/>
        <rFont val="Arial"/>
        <family val="2"/>
      </rPr>
      <t xml:space="preserve"> /y]</t>
    </r>
  </si>
  <si>
    <t>Amount of sewage sludge</t>
  </si>
  <si>
    <t>1990-1999: Külling et al, 2002</t>
  </si>
  <si>
    <t>2000-2001: Linear interpolation</t>
  </si>
  <si>
    <t>Nitrogen content of sewage sludge</t>
  </si>
  <si>
    <t>[ kg N / kg sludge]</t>
  </si>
  <si>
    <t>Nitrogen in sewage sludge</t>
  </si>
  <si>
    <t>Nitrogen in effluent</t>
  </si>
  <si>
    <r>
      <t>[kg N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 / kg N]</t>
    </r>
  </si>
  <si>
    <r>
      <t>[g N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 / inhab. / year]</t>
    </r>
  </si>
  <si>
    <t>BOD: country specific</t>
  </si>
  <si>
    <t>g BOD / inhab. / day)</t>
  </si>
  <si>
    <t>calculation factor</t>
  </si>
  <si>
    <t>[t BOD / year]</t>
  </si>
  <si>
    <t>[g / t * day / year]</t>
  </si>
  <si>
    <r>
      <t>[kg CH</t>
    </r>
    <r>
      <rPr>
        <vertAlign val="subscript"/>
        <sz val="10"/>
        <color theme="1"/>
        <rFont val="Arial"/>
        <family val="2"/>
      </rPr>
      <t>4</t>
    </r>
    <r>
      <rPr>
        <sz val="10"/>
        <color theme="1"/>
        <rFont val="Arial"/>
        <family val="2"/>
      </rPr>
      <t xml:space="preserve"> / kg BOD]</t>
    </r>
  </si>
  <si>
    <t>MCF: methane correction factor</t>
  </si>
  <si>
    <t>Emission factor</t>
  </si>
  <si>
    <r>
      <t>[t CH</t>
    </r>
    <r>
      <rPr>
        <vertAlign val="subscript"/>
        <sz val="10"/>
        <color theme="1"/>
        <rFont val="Arial"/>
        <family val="2"/>
      </rPr>
      <t>4</t>
    </r>
    <r>
      <rPr>
        <sz val="10"/>
        <color theme="1"/>
        <rFont val="Arial"/>
        <family val="2"/>
      </rPr>
      <t xml:space="preserve"> / year]</t>
    </r>
  </si>
  <si>
    <t>[TJ / year]</t>
  </si>
  <si>
    <t>[% losses in sewage gas treatment]</t>
  </si>
  <si>
    <t>[% torches from furnace &amp; CHP inst.]</t>
  </si>
  <si>
    <t>[TJ lost / year]</t>
  </si>
  <si>
    <t>[% leaked sewage gas from production]</t>
  </si>
  <si>
    <r>
      <t>[kg CH</t>
    </r>
    <r>
      <rPr>
        <vertAlign val="subscript"/>
        <sz val="10"/>
        <color theme="1"/>
        <rFont val="Arial"/>
        <family val="2"/>
      </rPr>
      <t>4</t>
    </r>
    <r>
      <rPr>
        <sz val="10"/>
        <color theme="1"/>
        <rFont val="Arial"/>
        <family val="2"/>
      </rPr>
      <t xml:space="preserve"> / TJ]</t>
    </r>
  </si>
  <si>
    <t>[ TJ leaked / year]</t>
  </si>
  <si>
    <r>
      <t>emissions CH</t>
    </r>
    <r>
      <rPr>
        <b/>
        <vertAlign val="subscript"/>
        <sz val="10"/>
        <color theme="1"/>
        <rFont val="Arial"/>
        <family val="2"/>
      </rPr>
      <t>4</t>
    </r>
    <r>
      <rPr>
        <b/>
        <sz val="10"/>
        <color theme="1"/>
        <rFont val="Arial"/>
        <family val="2"/>
      </rPr>
      <t xml:space="preserve"> from sewage gas</t>
    </r>
  </si>
  <si>
    <r>
      <t>[kg CH</t>
    </r>
    <r>
      <rPr>
        <vertAlign val="subscript"/>
        <sz val="10"/>
        <color theme="1"/>
        <rFont val="Arial"/>
        <family val="2"/>
      </rPr>
      <t>4</t>
    </r>
    <r>
      <rPr>
        <sz val="10"/>
        <color theme="1"/>
        <rFont val="Arial"/>
        <family val="2"/>
      </rPr>
      <t xml:space="preserve"> / inhab. /y]</t>
    </r>
  </si>
  <si>
    <r>
      <t>[t CH</t>
    </r>
    <r>
      <rPr>
        <vertAlign val="subscript"/>
        <sz val="10"/>
        <color theme="1"/>
        <rFont val="Arial"/>
        <family val="2"/>
      </rPr>
      <t>4</t>
    </r>
    <r>
      <rPr>
        <sz val="10"/>
        <color theme="1"/>
        <rFont val="Arial"/>
        <family val="2"/>
      </rPr>
      <t xml:space="preserve"> / y]</t>
    </r>
  </si>
  <si>
    <t>Nitrogen removal in WWTP</t>
  </si>
  <si>
    <r>
      <t>N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 emissions from wastewater treatment and discharge:</t>
    </r>
  </si>
  <si>
    <r>
      <t>CH</t>
    </r>
    <r>
      <rPr>
        <b/>
        <vertAlign val="subscript"/>
        <sz val="10"/>
        <color theme="1"/>
        <rFont val="Arial"/>
        <family val="2"/>
      </rPr>
      <t>4</t>
    </r>
    <r>
      <rPr>
        <b/>
        <sz val="10"/>
        <color theme="1"/>
        <rFont val="Arial"/>
        <family val="2"/>
      </rPr>
      <t xml:space="preserve"> emissions from wastewater treatment and discharge:</t>
    </r>
  </si>
  <si>
    <r>
      <t>[kg N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O-N / kg N]</t>
    </r>
  </si>
  <si>
    <r>
      <t>[kg N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O-N / kg N</t>
    </r>
    <r>
      <rPr>
        <vertAlign val="subscript"/>
        <sz val="10"/>
        <color theme="1"/>
        <rFont val="Arial"/>
        <family val="2"/>
      </rPr>
      <t>influent</t>
    </r>
    <r>
      <rPr>
        <sz val="10"/>
        <color theme="1"/>
        <rFont val="Arial"/>
        <family val="2"/>
      </rPr>
      <t>]</t>
    </r>
  </si>
  <si>
    <t>COD: country specific</t>
  </si>
  <si>
    <t>g COD / inhab. / day)</t>
  </si>
  <si>
    <t>[t COD / year]</t>
  </si>
  <si>
    <t>emissions N2O from effluent</t>
  </si>
  <si>
    <t>total emissions N2O</t>
  </si>
  <si>
    <r>
      <t>[t N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 / y]</t>
    </r>
  </si>
  <si>
    <t>year</t>
  </si>
  <si>
    <r>
      <t>emissions N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 from effluent</t>
    </r>
  </si>
  <si>
    <t>transformation factor</t>
  </si>
  <si>
    <t>Organically degrad. material in sewer</t>
  </si>
  <si>
    <t>expert judgement</t>
  </si>
  <si>
    <t>sewage gas: CHP installation</t>
  </si>
  <si>
    <t>sewage gas: furnace</t>
  </si>
  <si>
    <t>sewage gas: treatment / upgrade</t>
  </si>
  <si>
    <t>sewage gas: torches</t>
  </si>
  <si>
    <t>sewage gas: total production</t>
  </si>
  <si>
    <t>[kg CH4 of kg COD]</t>
  </si>
  <si>
    <t>sewage gas: EF CHP inst.</t>
  </si>
  <si>
    <t>sewage gas: EF treatment / upgrade</t>
  </si>
  <si>
    <t>sewage gas: EF torches</t>
  </si>
  <si>
    <t>Activity Data (AD)</t>
  </si>
  <si>
    <r>
      <t>off-site emissions: EF N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  <r>
      <rPr>
        <b/>
        <vertAlign val="subscript"/>
        <sz val="10"/>
        <color theme="1"/>
        <rFont val="Arial"/>
        <family val="2"/>
      </rPr>
      <t>effluent</t>
    </r>
  </si>
  <si>
    <t>sewage gas: EF furnace</t>
  </si>
  <si>
    <t>emissions from furnace</t>
  </si>
  <si>
    <t>emissions from CHP inst.</t>
  </si>
  <si>
    <t>emissions from treatment / upgrading</t>
  </si>
  <si>
    <t>emissions from torches</t>
  </si>
  <si>
    <t>sewage gas: EF sludge treatm. &amp; stacking</t>
  </si>
  <si>
    <t>[t CH4 / year]</t>
  </si>
  <si>
    <t>[t CO2 / y]</t>
  </si>
  <si>
    <t>Proposed N2O meth.</t>
  </si>
  <si>
    <t>Proposed CH4 meth.</t>
  </si>
  <si>
    <t>2006 IPCC GL: CH4</t>
  </si>
  <si>
    <t>sewage gas: leakages</t>
  </si>
  <si>
    <t>sewage gas: EF leakages</t>
  </si>
  <si>
    <t>correction factor add. industrial BOD</t>
  </si>
  <si>
    <r>
      <t>emission</t>
    </r>
    <r>
      <rPr>
        <b/>
        <sz val="10"/>
        <color theme="1"/>
        <rFont val="Arial"/>
        <family val="2"/>
      </rPr>
      <t>from WWTP</t>
    </r>
  </si>
  <si>
    <r>
      <t xml:space="preserve">emission </t>
    </r>
    <r>
      <rPr>
        <b/>
        <sz val="10"/>
        <color theme="1"/>
        <rFont val="Arial"/>
        <family val="2"/>
      </rPr>
      <t>not sewered wastewater</t>
    </r>
  </si>
  <si>
    <r>
      <t>Maximum CH</t>
    </r>
    <r>
      <rPr>
        <b/>
        <vertAlign val="subscript"/>
        <sz val="10"/>
        <color theme="1"/>
        <rFont val="Arial"/>
        <family val="2"/>
      </rPr>
      <t>4</t>
    </r>
    <r>
      <rPr>
        <b/>
        <sz val="10"/>
        <color theme="1"/>
        <rFont val="Arial"/>
        <family val="2"/>
      </rPr>
      <t xml:space="preserve"> production capacity</t>
    </r>
  </si>
  <si>
    <t>emissions from leakage</t>
  </si>
  <si>
    <t>Total organically degrad. Material</t>
  </si>
  <si>
    <t>Total organically degrad. material</t>
  </si>
  <si>
    <t>2006 IPCC default value (well-managed plant)</t>
  </si>
  <si>
    <t>2006 IPCC default value (western europe)</t>
  </si>
  <si>
    <t>CH4 emissions in CO2eq</t>
  </si>
  <si>
    <t>N2O emissions in CO2eq</t>
  </si>
  <si>
    <r>
      <t>total CH</t>
    </r>
    <r>
      <rPr>
        <b/>
        <vertAlign val="subscript"/>
        <sz val="10"/>
        <color theme="1"/>
        <rFont val="Arial"/>
        <family val="2"/>
      </rPr>
      <t>4</t>
    </r>
    <r>
      <rPr>
        <b/>
        <sz val="10"/>
        <color theme="1"/>
        <rFont val="Arial"/>
        <family val="2"/>
      </rPr>
      <t xml:space="preserve"> emissions</t>
    </r>
  </si>
  <si>
    <t>Legend:</t>
  </si>
  <si>
    <t>1a</t>
  </si>
  <si>
    <t>Activity data or emission factor name</t>
  </si>
  <si>
    <t>[units]</t>
  </si>
  <si>
    <t>source or if not indicated from calculations</t>
  </si>
  <si>
    <t>N2O 2006 IPCC GL</t>
  </si>
  <si>
    <t>CH4 2006 IPCC GL</t>
  </si>
  <si>
    <t>Summary of all calculation sheets</t>
  </si>
  <si>
    <t>Application of 2006 IPCC GL by FOEN</t>
  </si>
  <si>
    <t>Proposal of country-specific meth.</t>
  </si>
  <si>
    <t>Content - In each sheet a methodology is applied and calculated:</t>
  </si>
  <si>
    <t>Overview</t>
  </si>
  <si>
    <t>Proposed Changes in application of 2006 IPCC GL</t>
  </si>
  <si>
    <t>N2O:</t>
  </si>
  <si>
    <t>CH4:</t>
  </si>
  <si>
    <t>connection rate  to WWTP</t>
  </si>
  <si>
    <t>FOEN indicator WS076; 2018</t>
  </si>
  <si>
    <t>data used by FOEN in NIR 2017</t>
  </si>
  <si>
    <t>FOE, statistics on renewable energy, 2015</t>
  </si>
  <si>
    <t>1990-2007: data used by FOEN in NIR 2017</t>
  </si>
  <si>
    <t>Emissions</t>
  </si>
  <si>
    <t>Emission factors (EF)</t>
  </si>
  <si>
    <t>Emissions in CO2eq</t>
  </si>
  <si>
    <t>2006IPCC GL default value</t>
  </si>
  <si>
    <t>connection rate to sewer CH</t>
  </si>
  <si>
    <r>
      <t>total N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 emissions</t>
    </r>
  </si>
  <si>
    <t>proposed method</t>
  </si>
  <si>
    <r>
      <t>t N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 / y</t>
    </r>
  </si>
  <si>
    <r>
      <t>kg CH</t>
    </r>
    <r>
      <rPr>
        <vertAlign val="subscript"/>
        <sz val="10"/>
        <color theme="1"/>
        <rFont val="Arial"/>
        <family val="2"/>
      </rPr>
      <t>4</t>
    </r>
    <r>
      <rPr>
        <sz val="10"/>
        <color theme="1"/>
        <rFont val="Arial"/>
        <family val="2"/>
      </rPr>
      <t xml:space="preserve"> / y</t>
    </r>
  </si>
  <si>
    <t>industrial and commercial protein*</t>
  </si>
  <si>
    <t>* The same corrrection factor is mentioned two times as it is part of two different equations.</t>
  </si>
  <si>
    <r>
      <t>CH</t>
    </r>
    <r>
      <rPr>
        <b/>
        <vertAlign val="subscript"/>
        <sz val="10"/>
        <color theme="1"/>
        <rFont val="Arial"/>
        <family val="2"/>
      </rPr>
      <t>4</t>
    </r>
    <r>
      <rPr>
        <b/>
        <sz val="10"/>
        <color theme="1"/>
        <rFont val="Arial"/>
        <family val="2"/>
      </rPr>
      <t xml:space="preserve"> emissions from sewage sludge &amp; gas</t>
    </r>
  </si>
  <si>
    <t>Yellow fields indicate a change to the standard IPCC Guidelines or its application</t>
  </si>
  <si>
    <t>Nitrogen per inhabtitant</t>
  </si>
  <si>
    <t>[gN / d / inhab.]</t>
  </si>
  <si>
    <t>Share WWTP category C</t>
  </si>
  <si>
    <t>[%]</t>
  </si>
  <si>
    <t>Share WWTP category NH4</t>
  </si>
  <si>
    <t>Share WWTP category N</t>
  </si>
  <si>
    <t>EF WWTP category C</t>
  </si>
  <si>
    <t>EF WWTP category N</t>
  </si>
  <si>
    <t>EF WWTP category NH4</t>
  </si>
  <si>
    <t xml:space="preserve">additional nitrogen from household </t>
  </si>
  <si>
    <t>products added to the wastewater</t>
  </si>
  <si>
    <r>
      <t>on-site emissions: EF N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Oin</t>
    </r>
    <r>
      <rPr>
        <b/>
        <vertAlign val="subscript"/>
        <sz val="10"/>
        <color theme="1"/>
        <rFont val="Arial"/>
        <family val="2"/>
      </rPr>
      <t>fluent</t>
    </r>
  </si>
  <si>
    <t>2019 IPCC GL</t>
  </si>
  <si>
    <t>2006 IPCC GL</t>
  </si>
  <si>
    <t>Emissions from unaerated parts</t>
  </si>
  <si>
    <r>
      <t>Proposed N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 meth.</t>
    </r>
  </si>
  <si>
    <r>
      <t>2019 IPCC GL: N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</si>
  <si>
    <r>
      <t>2006 IPCC GL: N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</si>
  <si>
    <t>correction factor for add. industrial COD</t>
  </si>
  <si>
    <t>WWTP</t>
  </si>
  <si>
    <t>From effluent</t>
  </si>
  <si>
    <t>data used by FOEN in NIR 2020</t>
  </si>
  <si>
    <t>FOEN indicator WS076; 2020</t>
  </si>
  <si>
    <t>2002-2019: FOEN, annual waste statistics</t>
  </si>
  <si>
    <t>2000-2019: assumption based on Külling et al, 2002</t>
  </si>
  <si>
    <t>2008-2019: SES2016 Kap. 6.7</t>
  </si>
  <si>
    <t>FOEN indicator WS076; 2019</t>
  </si>
  <si>
    <t>FOE, statistics on renewable energy, 2020</t>
  </si>
  <si>
    <t>calculated accoridng to regression in report</t>
  </si>
  <si>
    <t xml:space="preserve">sewer </t>
  </si>
  <si>
    <t>WWTP (water line + sludge line)</t>
  </si>
  <si>
    <r>
      <t>CH</t>
    </r>
    <r>
      <rPr>
        <b/>
        <vertAlign val="subscript"/>
        <sz val="10"/>
        <color theme="1"/>
        <rFont val="Arial"/>
        <family val="2"/>
      </rPr>
      <t>4</t>
    </r>
    <r>
      <rPr>
        <b/>
        <sz val="10"/>
        <color theme="1"/>
        <rFont val="Arial"/>
        <family val="2"/>
      </rPr>
      <t xml:space="preserve"> from sewer</t>
    </r>
  </si>
  <si>
    <r>
      <t>CH</t>
    </r>
    <r>
      <rPr>
        <b/>
        <vertAlign val="subscript"/>
        <sz val="10"/>
        <color theme="1"/>
        <rFont val="Arial"/>
        <family val="2"/>
      </rPr>
      <t>4</t>
    </r>
    <r>
      <rPr>
        <b/>
        <sz val="10"/>
        <color theme="1"/>
        <rFont val="Arial"/>
        <family val="2"/>
      </rPr>
      <t xml:space="preserve"> from WWTP</t>
    </r>
  </si>
  <si>
    <t>Sewer</t>
  </si>
  <si>
    <t>Gas usage</t>
  </si>
  <si>
    <t>Calculations to accompany the 2021 report</t>
  </si>
  <si>
    <t>Elaboration of a data basis on greenhouse gas emissions from wastewater management - Final report N2OklimARA</t>
  </si>
  <si>
    <t xml:space="preserve">by: Wenzel Gruber, Adriano Joss, Manuel Luck, Thomas Kupper, Tobias Bührer
</t>
  </si>
  <si>
    <t>Application of 2019 IPCC GL by FOEN</t>
  </si>
  <si>
    <t>N2O 2019 IPCC GL</t>
  </si>
  <si>
    <r>
      <t>EF: emission factor N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 WWTP</t>
    </r>
  </si>
  <si>
    <r>
      <t>EF: emission factor N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 effluent</t>
    </r>
  </si>
  <si>
    <t>(Chen et al. 2019, Mikola et al. 2014)</t>
  </si>
  <si>
    <t>N2O emissions from WWTP</t>
  </si>
  <si>
    <t>2019 IPCC GL default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</si>
</sst>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 * #,##0.00_ ;_ * \-#,##0.00_ ;_ * &quot;-&quot;??_ ;_ @_ "/>
    <numFmt numFmtId="164" formatCode="0.0E+00"/>
    <numFmt numFmtId="165" formatCode="_ * #,##0_ ;_ * \-#,##0_ ;_ * &quot;-&quot;??_ ;_ @_ "/>
    <numFmt numFmtId="166" formatCode="_ * #,##0.000_ ;_ * \-#,##0.000_ ;_ * &quot;-&quot;??_ ;_ @_ "/>
    <numFmt numFmtId="167" formatCode="0.000"/>
    <numFmt numFmtId="168" formatCode="0.0%"/>
    <numFmt numFmtId="169" formatCode="_ * #,##0.0_ ;_ * \-#,##0.0_ ;_ * &quot;-&quot;??_ ;_ @_ "/>
    <numFmt numFmtId="170" formatCode="0.0"/>
    <numFmt numFmtId="171" formatCode="#,##0.0_)"/>
    <numFmt numFmtId="172" formatCode="_ * #,##0_ ;_ * \-#,##0_ ;_ * &quot;-&quot;?_ ;_ @_ "/>
    <numFmt numFmtId="173" formatCode="_ * #,##0.00000_ ;_ * \-#,##0.00000_ ;_ * &quot;-&quot;??_ ;_ @_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i/>
      <sz val="10"/>
      <color theme="1"/>
      <name val="Arial"/>
      <family val="2"/>
    </font>
    <font>
      <b/>
      <u/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10"/>
      <name val="Helv"/>
    </font>
    <font>
      <sz val="8"/>
      <name val="Verdana"/>
      <family val="2"/>
    </font>
    <font>
      <sz val="10"/>
      <color rgb="FF9C0006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7CE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5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10" fillId="0" borderId="0" applyNumberFormat="0" applyFill="0" applyBorder="0" applyAlignment="0" applyProtection="0"/>
    <xf numFmtId="0" fontId="3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4" fontId="13" fillId="0" borderId="0" applyFont="0" applyFill="0" applyBorder="0" applyAlignment="0" applyProtection="0"/>
    <xf numFmtId="0" fontId="14" fillId="0" borderId="0"/>
    <xf numFmtId="0" fontId="15" fillId="6" borderId="0" applyNumberFormat="0" applyBorder="0" applyAlignment="0" applyProtection="0"/>
    <xf numFmtId="43" fontId="2" fillId="0" borderId="0" applyFont="0" applyFill="0" applyBorder="0" applyAlignment="0" applyProtection="0"/>
  </cellStyleXfs>
  <cellXfs count="35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8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0" xfId="0" applyFont="1" applyBorder="1"/>
    <xf numFmtId="164" fontId="3" fillId="0" borderId="0" xfId="0" applyNumberFormat="1" applyFont="1" applyBorder="1"/>
    <xf numFmtId="167" fontId="3" fillId="0" borderId="0" xfId="0" applyNumberFormat="1" applyFont="1" applyBorder="1"/>
    <xf numFmtId="0" fontId="3" fillId="0" borderId="0" xfId="0" applyNumberFormat="1" applyFont="1" applyFill="1" applyBorder="1" applyAlignment="1" applyProtection="1"/>
    <xf numFmtId="165" fontId="3" fillId="3" borderId="0" xfId="1" applyNumberFormat="1" applyFont="1" applyFill="1" applyBorder="1"/>
    <xf numFmtId="0" fontId="3" fillId="0" borderId="7" xfId="0" applyFont="1" applyBorder="1"/>
    <xf numFmtId="166" fontId="3" fillId="3" borderId="0" xfId="0" applyNumberFormat="1" applyFont="1" applyFill="1" applyBorder="1"/>
    <xf numFmtId="0" fontId="3" fillId="0" borderId="1" xfId="0" applyFont="1" applyBorder="1"/>
    <xf numFmtId="167" fontId="3" fillId="0" borderId="4" xfId="0" applyNumberFormat="1" applyFont="1" applyBorder="1"/>
    <xf numFmtId="0" fontId="3" fillId="0" borderId="4" xfId="0" applyNumberFormat="1" applyFont="1" applyFill="1" applyBorder="1" applyAlignment="1" applyProtection="1"/>
    <xf numFmtId="165" fontId="3" fillId="3" borderId="4" xfId="1" applyNumberFormat="1" applyFont="1" applyFill="1" applyBorder="1"/>
    <xf numFmtId="165" fontId="3" fillId="0" borderId="0" xfId="0" applyNumberFormat="1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0" xfId="0" applyNumberFormat="1" applyFont="1" applyFill="1" applyBorder="1" applyAlignment="1" applyProtection="1"/>
    <xf numFmtId="164" fontId="4" fillId="0" borderId="0" xfId="0" applyNumberFormat="1" applyFont="1" applyBorder="1"/>
    <xf numFmtId="165" fontId="3" fillId="0" borderId="0" xfId="0" applyNumberFormat="1" applyFont="1" applyBorder="1"/>
    <xf numFmtId="165" fontId="4" fillId="0" borderId="0" xfId="0" applyNumberFormat="1" applyFont="1" applyBorder="1"/>
    <xf numFmtId="165" fontId="3" fillId="0" borderId="0" xfId="1" applyNumberFormat="1" applyFont="1" applyBorder="1"/>
    <xf numFmtId="165" fontId="4" fillId="0" borderId="0" xfId="1" applyNumberFormat="1" applyFont="1" applyBorder="1"/>
    <xf numFmtId="1" fontId="3" fillId="0" borderId="0" xfId="0" applyNumberFormat="1" applyFont="1" applyBorder="1"/>
    <xf numFmtId="168" fontId="3" fillId="0" borderId="0" xfId="2" applyNumberFormat="1" applyFont="1" applyBorder="1"/>
    <xf numFmtId="9" fontId="3" fillId="0" borderId="0" xfId="2" applyFont="1" applyBorder="1"/>
    <xf numFmtId="11" fontId="3" fillId="0" borderId="0" xfId="0" applyNumberFormat="1" applyFont="1" applyBorder="1"/>
    <xf numFmtId="43" fontId="3" fillId="0" borderId="4" xfId="1" applyFont="1" applyBorder="1"/>
    <xf numFmtId="43" fontId="3" fillId="0" borderId="0" xfId="1" applyFont="1" applyBorder="1"/>
    <xf numFmtId="169" fontId="3" fillId="0" borderId="0" xfId="1" applyNumberFormat="1" applyFont="1" applyBorder="1"/>
    <xf numFmtId="10" fontId="3" fillId="0" borderId="0" xfId="0" applyNumberFormat="1" applyFont="1"/>
    <xf numFmtId="170" fontId="3" fillId="0" borderId="4" xfId="0" applyNumberFormat="1" applyFont="1" applyBorder="1"/>
    <xf numFmtId="1" fontId="3" fillId="0" borderId="4" xfId="0" applyNumberFormat="1" applyFont="1" applyBorder="1"/>
    <xf numFmtId="170" fontId="3" fillId="0" borderId="0" xfId="0" applyNumberFormat="1" applyFont="1" applyBorder="1"/>
    <xf numFmtId="11" fontId="3" fillId="0" borderId="0" xfId="0" applyNumberFormat="1" applyFont="1" applyFill="1" applyBorder="1" applyAlignment="1" applyProtection="1"/>
    <xf numFmtId="165" fontId="3" fillId="0" borderId="4" xfId="1" applyNumberFormat="1" applyFont="1" applyFill="1" applyBorder="1"/>
    <xf numFmtId="165" fontId="3" fillId="0" borderId="0" xfId="1" applyNumberFormat="1" applyFont="1" applyFill="1" applyBorder="1"/>
    <xf numFmtId="0" fontId="4" fillId="0" borderId="0" xfId="3" applyBorder="1"/>
    <xf numFmtId="170" fontId="4" fillId="0" borderId="4" xfId="3" applyNumberFormat="1" applyBorder="1"/>
    <xf numFmtId="170" fontId="4" fillId="0" borderId="0" xfId="3" applyNumberFormat="1" applyBorder="1"/>
    <xf numFmtId="170" fontId="4" fillId="0" borderId="0" xfId="3" applyNumberFormat="1" applyFill="1" applyBorder="1"/>
    <xf numFmtId="170" fontId="4" fillId="0" borderId="0" xfId="0" applyNumberFormat="1" applyFont="1" applyBorder="1"/>
    <xf numFmtId="1" fontId="4" fillId="0" borderId="0" xfId="3" applyNumberFormat="1" applyBorder="1"/>
    <xf numFmtId="168" fontId="4" fillId="0" borderId="0" xfId="2" applyNumberFormat="1" applyFont="1" applyFill="1" applyBorder="1"/>
    <xf numFmtId="168" fontId="4" fillId="0" borderId="0" xfId="2" applyNumberFormat="1" applyFont="1" applyBorder="1"/>
    <xf numFmtId="9" fontId="4" fillId="0" borderId="0" xfId="0" applyNumberFormat="1" applyFont="1" applyBorder="1"/>
    <xf numFmtId="0" fontId="4" fillId="0" borderId="7" xfId="0" applyFont="1" applyBorder="1"/>
    <xf numFmtId="10" fontId="4" fillId="0" borderId="0" xfId="2" applyNumberFormat="1" applyFont="1" applyFill="1" applyBorder="1"/>
    <xf numFmtId="3" fontId="3" fillId="0" borderId="4" xfId="0" applyNumberFormat="1" applyFont="1" applyBorder="1"/>
    <xf numFmtId="1" fontId="4" fillId="0" borderId="4" xfId="3" applyNumberFormat="1" applyBorder="1"/>
    <xf numFmtId="169" fontId="4" fillId="0" borderId="4" xfId="1" applyNumberFormat="1" applyFont="1" applyBorder="1"/>
    <xf numFmtId="169" fontId="4" fillId="0" borderId="0" xfId="1" applyNumberFormat="1" applyFont="1" applyBorder="1"/>
    <xf numFmtId="169" fontId="4" fillId="0" borderId="0" xfId="1" applyNumberFormat="1" applyFont="1" applyFill="1" applyBorder="1"/>
    <xf numFmtId="170" fontId="4" fillId="0" borderId="0" xfId="1" applyNumberFormat="1" applyFont="1" applyBorder="1"/>
    <xf numFmtId="0" fontId="4" fillId="0" borderId="2" xfId="0" applyFont="1" applyBorder="1"/>
    <xf numFmtId="9" fontId="4" fillId="0" borderId="4" xfId="2" applyFont="1" applyBorder="1"/>
    <xf numFmtId="170" fontId="4" fillId="0" borderId="4" xfId="1" applyNumberFormat="1" applyFont="1" applyBorder="1"/>
    <xf numFmtId="3" fontId="3" fillId="0" borderId="0" xfId="0" applyNumberFormat="1" applyFont="1" applyBorder="1"/>
    <xf numFmtId="171" fontId="4" fillId="0" borderId="4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0" fontId="3" fillId="0" borderId="4" xfId="0" applyFont="1" applyFill="1" applyBorder="1"/>
    <xf numFmtId="0" fontId="3" fillId="0" borderId="0" xfId="0" applyFont="1" applyFill="1" applyBorder="1"/>
    <xf numFmtId="43" fontId="3" fillId="0" borderId="0" xfId="0" applyNumberFormat="1" applyFont="1" applyBorder="1"/>
    <xf numFmtId="166" fontId="3" fillId="0" borderId="0" xfId="2" applyNumberFormat="1" applyFont="1" applyBorder="1"/>
    <xf numFmtId="166" fontId="3" fillId="3" borderId="4" xfId="0" applyNumberFormat="1" applyFont="1" applyFill="1" applyBorder="1"/>
    <xf numFmtId="166" fontId="4" fillId="3" borderId="0" xfId="0" applyNumberFormat="1" applyFont="1" applyFill="1" applyBorder="1"/>
    <xf numFmtId="0" fontId="3" fillId="0" borderId="0" xfId="0" applyFont="1" applyFill="1"/>
    <xf numFmtId="9" fontId="3" fillId="0" borderId="4" xfId="2" applyFont="1" applyBorder="1"/>
    <xf numFmtId="165" fontId="3" fillId="3" borderId="4" xfId="0" applyNumberFormat="1" applyFont="1" applyFill="1" applyBorder="1"/>
    <xf numFmtId="165" fontId="3" fillId="3" borderId="0" xfId="0" applyNumberFormat="1" applyFont="1" applyFill="1" applyBorder="1"/>
    <xf numFmtId="165" fontId="4" fillId="3" borderId="0" xfId="0" applyNumberFormat="1" applyFont="1" applyFill="1" applyBorder="1"/>
    <xf numFmtId="172" fontId="3" fillId="0" borderId="0" xfId="0" applyNumberFormat="1" applyFont="1"/>
    <xf numFmtId="170" fontId="3" fillId="0" borderId="6" xfId="0" applyNumberFormat="1" applyFont="1" applyFill="1" applyBorder="1" applyAlignment="1" applyProtection="1"/>
    <xf numFmtId="170" fontId="3" fillId="0" borderId="7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10" fontId="3" fillId="0" borderId="1" xfId="2" applyNumberFormat="1" applyFont="1" applyBorder="1"/>
    <xf numFmtId="10" fontId="3" fillId="0" borderId="2" xfId="2" applyNumberFormat="1" applyFont="1" applyBorder="1"/>
    <xf numFmtId="165" fontId="3" fillId="0" borderId="2" xfId="0" applyNumberFormat="1" applyFont="1" applyBorder="1"/>
    <xf numFmtId="165" fontId="3" fillId="0" borderId="7" xfId="0" applyNumberFormat="1" applyFont="1" applyBorder="1"/>
    <xf numFmtId="10" fontId="3" fillId="0" borderId="6" xfId="2" applyNumberFormat="1" applyFont="1" applyBorder="1"/>
    <xf numFmtId="10" fontId="3" fillId="0" borderId="7" xfId="2" applyNumberFormat="1" applyFont="1" applyBorder="1"/>
    <xf numFmtId="165" fontId="3" fillId="0" borderId="1" xfId="0" applyNumberFormat="1" applyFont="1" applyBorder="1"/>
    <xf numFmtId="0" fontId="3" fillId="0" borderId="1" xfId="0" applyFont="1" applyFill="1" applyBorder="1"/>
    <xf numFmtId="0" fontId="3" fillId="0" borderId="2" xfId="0" applyFont="1" applyFill="1" applyBorder="1"/>
    <xf numFmtId="0" fontId="4" fillId="0" borderId="2" xfId="0" applyFont="1" applyFill="1" applyBorder="1"/>
    <xf numFmtId="165" fontId="3" fillId="0" borderId="1" xfId="1" applyNumberFormat="1" applyFont="1" applyFill="1" applyBorder="1"/>
    <xf numFmtId="165" fontId="3" fillId="0" borderId="2" xfId="1" applyNumberFormat="1" applyFont="1" applyFill="1" applyBorder="1"/>
    <xf numFmtId="0" fontId="5" fillId="0" borderId="12" xfId="0" applyFont="1" applyBorder="1" applyAlignment="1">
      <alignment wrapText="1"/>
    </xf>
    <xf numFmtId="165" fontId="3" fillId="0" borderId="13" xfId="1" applyNumberFormat="1" applyFont="1" applyFill="1" applyBorder="1"/>
    <xf numFmtId="0" fontId="3" fillId="0" borderId="14" xfId="0" applyFont="1" applyBorder="1"/>
    <xf numFmtId="0" fontId="5" fillId="0" borderId="12" xfId="0" applyFont="1" applyBorder="1"/>
    <xf numFmtId="0" fontId="3" fillId="0" borderId="13" xfId="0" applyFont="1" applyFill="1" applyBorder="1"/>
    <xf numFmtId="0" fontId="3" fillId="0" borderId="16" xfId="0" applyFont="1" applyBorder="1"/>
    <xf numFmtId="165" fontId="3" fillId="3" borderId="17" xfId="1" applyNumberFormat="1" applyFont="1" applyFill="1" applyBorder="1"/>
    <xf numFmtId="0" fontId="3" fillId="0" borderId="13" xfId="0" applyFont="1" applyBorder="1"/>
    <xf numFmtId="0" fontId="3" fillId="0" borderId="18" xfId="0" applyFont="1" applyBorder="1"/>
    <xf numFmtId="0" fontId="5" fillId="0" borderId="16" xfId="0" applyFont="1" applyBorder="1"/>
    <xf numFmtId="0" fontId="3" fillId="0" borderId="17" xfId="0" applyFont="1" applyBorder="1"/>
    <xf numFmtId="0" fontId="8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/>
    <xf numFmtId="165" fontId="3" fillId="0" borderId="17" xfId="1" applyNumberFormat="1" applyFont="1" applyFill="1" applyBorder="1"/>
    <xf numFmtId="0" fontId="8" fillId="0" borderId="16" xfId="0" applyFont="1" applyBorder="1"/>
    <xf numFmtId="167" fontId="3" fillId="0" borderId="17" xfId="0" applyNumberFormat="1" applyFont="1" applyBorder="1"/>
    <xf numFmtId="170" fontId="3" fillId="0" borderId="15" xfId="0" applyNumberFormat="1" applyFont="1" applyFill="1" applyBorder="1" applyAlignment="1" applyProtection="1"/>
    <xf numFmtId="165" fontId="3" fillId="0" borderId="17" xfId="1" applyNumberFormat="1" applyFont="1" applyBorder="1"/>
    <xf numFmtId="0" fontId="8" fillId="0" borderId="14" xfId="0" applyFont="1" applyBorder="1"/>
    <xf numFmtId="0" fontId="3" fillId="0" borderId="15" xfId="0" applyFont="1" applyBorder="1"/>
    <xf numFmtId="0" fontId="3" fillId="0" borderId="13" xfId="0" applyNumberFormat="1" applyFont="1" applyFill="1" applyBorder="1" applyAlignment="1" applyProtection="1"/>
    <xf numFmtId="0" fontId="3" fillId="0" borderId="17" xfId="0" applyNumberFormat="1" applyFont="1" applyFill="1" applyBorder="1" applyAlignment="1" applyProtection="1"/>
    <xf numFmtId="165" fontId="3" fillId="0" borderId="13" xfId="0" applyNumberFormat="1" applyFont="1" applyBorder="1"/>
    <xf numFmtId="165" fontId="3" fillId="0" borderId="15" xfId="0" applyNumberFormat="1" applyFont="1" applyBorder="1"/>
    <xf numFmtId="0" fontId="3" fillId="2" borderId="24" xfId="0" applyFont="1" applyFill="1" applyBorder="1" applyAlignment="1">
      <alignment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168" fontId="3" fillId="0" borderId="0" xfId="2" applyNumberFormat="1" applyFont="1" applyBorder="1" applyAlignment="1">
      <alignment horizontal="right"/>
    </xf>
    <xf numFmtId="168" fontId="3" fillId="0" borderId="0" xfId="0" applyNumberFormat="1" applyFont="1" applyBorder="1" applyAlignment="1">
      <alignment horizontal="right"/>
    </xf>
    <xf numFmtId="168" fontId="3" fillId="0" borderId="17" xfId="0" applyNumberFormat="1" applyFont="1" applyBorder="1" applyAlignment="1">
      <alignment horizontal="right"/>
    </xf>
    <xf numFmtId="165" fontId="3" fillId="0" borderId="6" xfId="1" applyNumberFormat="1" applyFont="1" applyFill="1" applyBorder="1"/>
    <xf numFmtId="165" fontId="3" fillId="0" borderId="7" xfId="1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165" fontId="3" fillId="0" borderId="19" xfId="1" applyNumberFormat="1" applyFont="1" applyFill="1" applyBorder="1"/>
    <xf numFmtId="165" fontId="3" fillId="0" borderId="20" xfId="1" applyNumberFormat="1" applyFont="1" applyFill="1" applyBorder="1"/>
    <xf numFmtId="165" fontId="3" fillId="0" borderId="20" xfId="1" applyNumberFormat="1" applyFont="1" applyFill="1" applyBorder="1" applyAlignment="1">
      <alignment horizontal="center" vertical="center" wrapText="1"/>
    </xf>
    <xf numFmtId="165" fontId="3" fillId="0" borderId="21" xfId="1" applyNumberFormat="1" applyFont="1" applyFill="1" applyBorder="1"/>
    <xf numFmtId="0" fontId="8" fillId="0" borderId="25" xfId="0" applyFont="1" applyBorder="1"/>
    <xf numFmtId="0" fontId="3" fillId="0" borderId="26" xfId="0" applyFont="1" applyBorder="1"/>
    <xf numFmtId="0" fontId="3" fillId="0" borderId="27" xfId="0" applyFont="1" applyBorder="1"/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/>
    <xf numFmtId="1" fontId="3" fillId="0" borderId="17" xfId="0" applyNumberFormat="1" applyFont="1" applyBorder="1"/>
    <xf numFmtId="0" fontId="5" fillId="0" borderId="16" xfId="0" applyFont="1" applyFill="1" applyBorder="1"/>
    <xf numFmtId="0" fontId="3" fillId="0" borderId="16" xfId="0" applyFont="1" applyFill="1" applyBorder="1"/>
    <xf numFmtId="11" fontId="3" fillId="0" borderId="17" xfId="0" applyNumberFormat="1" applyFont="1" applyFill="1" applyBorder="1" applyAlignment="1" applyProtection="1"/>
    <xf numFmtId="0" fontId="5" fillId="0" borderId="30" xfId="0" applyFont="1" applyBorder="1"/>
    <xf numFmtId="171" fontId="4" fillId="0" borderId="17" xfId="0" applyNumberFormat="1" applyFont="1" applyFill="1" applyBorder="1" applyAlignment="1">
      <alignment horizontal="right"/>
    </xf>
    <xf numFmtId="0" fontId="3" fillId="0" borderId="30" xfId="0" applyFont="1" applyBorder="1"/>
    <xf numFmtId="170" fontId="4" fillId="0" borderId="17" xfId="3" applyNumberFormat="1" applyBorder="1"/>
    <xf numFmtId="170" fontId="4" fillId="0" borderId="17" xfId="3" applyNumberFormat="1" applyFill="1" applyBorder="1"/>
    <xf numFmtId="169" fontId="4" fillId="0" borderId="17" xfId="1" applyNumberFormat="1" applyFont="1" applyFill="1" applyBorder="1"/>
    <xf numFmtId="0" fontId="3" fillId="0" borderId="17" xfId="0" applyFont="1" applyFill="1" applyBorder="1"/>
    <xf numFmtId="168" fontId="4" fillId="0" borderId="17" xfId="2" applyNumberFormat="1" applyFont="1" applyFill="1" applyBorder="1"/>
    <xf numFmtId="165" fontId="3" fillId="0" borderId="17" xfId="0" applyNumberFormat="1" applyFont="1" applyBorder="1"/>
    <xf numFmtId="170" fontId="3" fillId="0" borderId="17" xfId="0" applyNumberFormat="1" applyFont="1" applyBorder="1"/>
    <xf numFmtId="0" fontId="3" fillId="0" borderId="31" xfId="0" applyFont="1" applyBorder="1"/>
    <xf numFmtId="0" fontId="3" fillId="0" borderId="7" xfId="0" applyNumberFormat="1" applyFont="1" applyFill="1" applyBorder="1" applyAlignment="1" applyProtection="1"/>
    <xf numFmtId="0" fontId="3" fillId="0" borderId="15" xfId="0" applyNumberFormat="1" applyFont="1" applyFill="1" applyBorder="1" applyAlignment="1" applyProtection="1"/>
    <xf numFmtId="0" fontId="5" fillId="0" borderId="12" xfId="0" applyFont="1" applyFill="1" applyBorder="1"/>
    <xf numFmtId="0" fontId="8" fillId="0" borderId="14" xfId="0" applyFont="1" applyFill="1" applyBorder="1"/>
    <xf numFmtId="0" fontId="5" fillId="0" borderId="29" xfId="0" applyFont="1" applyBorder="1"/>
    <xf numFmtId="0" fontId="3" fillId="0" borderId="32" xfId="0" applyFont="1" applyBorder="1"/>
    <xf numFmtId="170" fontId="4" fillId="0" borderId="7" xfId="3" applyNumberFormat="1" applyBorder="1"/>
    <xf numFmtId="169" fontId="4" fillId="0" borderId="2" xfId="1" applyNumberFormat="1" applyFont="1" applyBorder="1"/>
    <xf numFmtId="169" fontId="4" fillId="0" borderId="2" xfId="1" applyNumberFormat="1" applyFont="1" applyFill="1" applyBorder="1"/>
    <xf numFmtId="169" fontId="4" fillId="0" borderId="13" xfId="1" applyNumberFormat="1" applyFont="1" applyFill="1" applyBorder="1"/>
    <xf numFmtId="170" fontId="3" fillId="0" borderId="7" xfId="0" applyNumberFormat="1" applyFont="1" applyBorder="1"/>
    <xf numFmtId="170" fontId="3" fillId="0" borderId="15" xfId="0" applyNumberFormat="1" applyFont="1" applyBorder="1"/>
    <xf numFmtId="170" fontId="4" fillId="0" borderId="7" xfId="0" applyNumberFormat="1" applyFont="1" applyBorder="1"/>
    <xf numFmtId="170" fontId="4" fillId="0" borderId="15" xfId="0" applyNumberFormat="1" applyFont="1" applyBorder="1"/>
    <xf numFmtId="0" fontId="5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1" fontId="4" fillId="0" borderId="1" xfId="3" applyNumberFormat="1" applyBorder="1"/>
    <xf numFmtId="1" fontId="4" fillId="0" borderId="2" xfId="3" applyNumberFormat="1" applyBorder="1"/>
    <xf numFmtId="170" fontId="4" fillId="0" borderId="2" xfId="3" applyNumberFormat="1" applyBorder="1"/>
    <xf numFmtId="170" fontId="4" fillId="0" borderId="13" xfId="3" applyNumberFormat="1" applyBorder="1"/>
    <xf numFmtId="165" fontId="4" fillId="0" borderId="7" xfId="0" applyNumberFormat="1" applyFont="1" applyBorder="1"/>
    <xf numFmtId="170" fontId="3" fillId="0" borderId="2" xfId="0" applyNumberFormat="1" applyFont="1" applyBorder="1"/>
    <xf numFmtId="170" fontId="4" fillId="0" borderId="2" xfId="0" applyNumberFormat="1" applyFont="1" applyBorder="1"/>
    <xf numFmtId="170" fontId="4" fillId="0" borderId="13" xfId="0" applyNumberFormat="1" applyFont="1" applyBorder="1"/>
    <xf numFmtId="3" fontId="3" fillId="0" borderId="7" xfId="0" applyNumberFormat="1" applyFont="1" applyBorder="1"/>
    <xf numFmtId="170" fontId="4" fillId="0" borderId="1" xfId="3" applyNumberFormat="1" applyBorder="1"/>
    <xf numFmtId="0" fontId="4" fillId="0" borderId="2" xfId="3" applyBorder="1"/>
    <xf numFmtId="0" fontId="4" fillId="0" borderId="13" xfId="3" applyBorder="1"/>
    <xf numFmtId="169" fontId="4" fillId="0" borderId="6" xfId="1" applyNumberFormat="1" applyFont="1" applyBorder="1"/>
    <xf numFmtId="169" fontId="4" fillId="0" borderId="7" xfId="1" applyNumberFormat="1" applyFont="1" applyBorder="1"/>
    <xf numFmtId="169" fontId="4" fillId="0" borderId="15" xfId="1" applyNumberFormat="1" applyFont="1" applyBorder="1"/>
    <xf numFmtId="170" fontId="4" fillId="0" borderId="6" xfId="1" applyNumberFormat="1" applyFont="1" applyBorder="1"/>
    <xf numFmtId="170" fontId="4" fillId="0" borderId="7" xfId="1" applyNumberFormat="1" applyFont="1" applyBorder="1"/>
    <xf numFmtId="170" fontId="4" fillId="0" borderId="15" xfId="1" applyNumberFormat="1" applyFont="1" applyBorder="1"/>
    <xf numFmtId="0" fontId="5" fillId="0" borderId="25" xfId="0" applyFont="1" applyBorder="1"/>
    <xf numFmtId="9" fontId="3" fillId="0" borderId="27" xfId="2" applyFont="1" applyBorder="1"/>
    <xf numFmtId="0" fontId="4" fillId="0" borderId="27" xfId="0" applyFont="1" applyBorder="1"/>
    <xf numFmtId="165" fontId="3" fillId="3" borderId="17" xfId="0" applyNumberFormat="1" applyFont="1" applyFill="1" applyBorder="1"/>
    <xf numFmtId="9" fontId="4" fillId="0" borderId="0" xfId="2" applyFont="1" applyBorder="1"/>
    <xf numFmtId="170" fontId="3" fillId="0" borderId="6" xfId="0" applyNumberFormat="1" applyFont="1" applyBorder="1"/>
    <xf numFmtId="43" fontId="3" fillId="0" borderId="0" xfId="1" applyNumberFormat="1" applyFont="1" applyFill="1" applyBorder="1" applyAlignment="1" applyProtection="1"/>
    <xf numFmtId="165" fontId="3" fillId="0" borderId="0" xfId="1" applyNumberFormat="1" applyFont="1" applyFill="1" applyBorder="1" applyAlignment="1" applyProtection="1"/>
    <xf numFmtId="165" fontId="3" fillId="0" borderId="17" xfId="1" applyNumberFormat="1" applyFont="1" applyFill="1" applyBorder="1" applyAlignment="1" applyProtection="1"/>
    <xf numFmtId="0" fontId="3" fillId="0" borderId="0" xfId="0" applyFont="1" applyBorder="1" applyAlignment="1">
      <alignment horizontal="left"/>
    </xf>
    <xf numFmtId="166" fontId="3" fillId="3" borderId="17" xfId="0" applyNumberFormat="1" applyFont="1" applyFill="1" applyBorder="1"/>
    <xf numFmtId="0" fontId="3" fillId="0" borderId="25" xfId="0" applyFont="1" applyBorder="1"/>
    <xf numFmtId="165" fontId="3" fillId="0" borderId="27" xfId="1" applyNumberFormat="1" applyFont="1" applyFill="1" applyBorder="1"/>
    <xf numFmtId="165" fontId="3" fillId="0" borderId="28" xfId="1" applyNumberFormat="1" applyFont="1" applyFill="1" applyBorder="1"/>
    <xf numFmtId="0" fontId="4" fillId="0" borderId="2" xfId="0" applyNumberFormat="1" applyFont="1" applyFill="1" applyBorder="1" applyAlignment="1" applyProtection="1"/>
    <xf numFmtId="11" fontId="3" fillId="0" borderId="7" xfId="0" applyNumberFormat="1" applyFont="1" applyBorder="1"/>
    <xf numFmtId="11" fontId="3" fillId="0" borderId="15" xfId="0" applyNumberFormat="1" applyFont="1" applyBorder="1"/>
    <xf numFmtId="0" fontId="4" fillId="0" borderId="2" xfId="0" applyFont="1" applyBorder="1" applyAlignment="1">
      <alignment horizontal="center" vertical="center" wrapText="1"/>
    </xf>
    <xf numFmtId="165" fontId="3" fillId="0" borderId="4" xfId="1" applyNumberFormat="1" applyFont="1" applyFill="1" applyBorder="1" applyAlignment="1" applyProtection="1"/>
    <xf numFmtId="165" fontId="3" fillId="0" borderId="27" xfId="1" applyNumberFormat="1" applyFont="1" applyBorder="1"/>
    <xf numFmtId="165" fontId="4" fillId="0" borderId="27" xfId="1" applyNumberFormat="1" applyFont="1" applyBorder="1"/>
    <xf numFmtId="165" fontId="3" fillId="0" borderId="28" xfId="1" applyNumberFormat="1" applyFont="1" applyBorder="1"/>
    <xf numFmtId="0" fontId="8" fillId="0" borderId="16" xfId="0" applyFont="1" applyFill="1" applyBorder="1"/>
    <xf numFmtId="43" fontId="3" fillId="0" borderId="17" xfId="1" applyFont="1" applyBorder="1"/>
    <xf numFmtId="0" fontId="4" fillId="0" borderId="17" xfId="3" applyBorder="1"/>
    <xf numFmtId="169" fontId="4" fillId="0" borderId="17" xfId="1" applyNumberFormat="1" applyFont="1" applyBorder="1"/>
    <xf numFmtId="170" fontId="4" fillId="0" borderId="17" xfId="1" applyNumberFormat="1" applyFont="1" applyBorder="1"/>
    <xf numFmtId="170" fontId="4" fillId="0" borderId="17" xfId="0" applyNumberFormat="1" applyFont="1" applyBorder="1"/>
    <xf numFmtId="0" fontId="3" fillId="0" borderId="30" xfId="0" applyFont="1" applyFill="1" applyBorder="1"/>
    <xf numFmtId="170" fontId="4" fillId="0" borderId="4" xfId="3" applyNumberFormat="1" applyFill="1" applyBorder="1"/>
    <xf numFmtId="0" fontId="4" fillId="0" borderId="20" xfId="0" applyFont="1" applyBorder="1"/>
    <xf numFmtId="170" fontId="4" fillId="0" borderId="2" xfId="3" applyNumberFormat="1" applyFill="1" applyBorder="1"/>
    <xf numFmtId="170" fontId="4" fillId="0" borderId="13" xfId="3" applyNumberFormat="1" applyFill="1" applyBorder="1"/>
    <xf numFmtId="169" fontId="4" fillId="0" borderId="7" xfId="1" applyNumberFormat="1" applyFont="1" applyFill="1" applyBorder="1"/>
    <xf numFmtId="169" fontId="4" fillId="0" borderId="15" xfId="1" applyNumberFormat="1" applyFont="1" applyFill="1" applyBorder="1"/>
    <xf numFmtId="170" fontId="3" fillId="0" borderId="1" xfId="0" applyNumberFormat="1" applyFont="1" applyBorder="1"/>
    <xf numFmtId="1" fontId="4" fillId="0" borderId="6" xfId="3" applyNumberFormat="1" applyBorder="1"/>
    <xf numFmtId="1" fontId="4" fillId="0" borderId="7" xfId="3" applyNumberFormat="1" applyBorder="1"/>
    <xf numFmtId="1" fontId="4" fillId="0" borderId="7" xfId="3" applyNumberFormat="1" applyFill="1" applyBorder="1"/>
    <xf numFmtId="1" fontId="4" fillId="0" borderId="15" xfId="3" applyNumberFormat="1" applyFill="1" applyBorder="1"/>
    <xf numFmtId="169" fontId="3" fillId="0" borderId="19" xfId="1" applyNumberFormat="1" applyFont="1" applyFill="1" applyBorder="1"/>
    <xf numFmtId="169" fontId="3" fillId="0" borderId="20" xfId="0" applyNumberFormat="1" applyFont="1" applyFill="1" applyBorder="1"/>
    <xf numFmtId="169" fontId="4" fillId="0" borderId="20" xfId="0" applyNumberFormat="1" applyFont="1" applyFill="1" applyBorder="1"/>
    <xf numFmtId="169" fontId="3" fillId="0" borderId="21" xfId="0" applyNumberFormat="1" applyFont="1" applyFill="1" applyBorder="1"/>
    <xf numFmtId="0" fontId="3" fillId="0" borderId="14" xfId="0" applyFont="1" applyFill="1" applyBorder="1"/>
    <xf numFmtId="0" fontId="3" fillId="0" borderId="6" xfId="0" applyNumberFormat="1" applyFont="1" applyFill="1" applyBorder="1" applyAlignment="1" applyProtection="1"/>
    <xf numFmtId="11" fontId="3" fillId="0" borderId="6" xfId="0" applyNumberFormat="1" applyFont="1" applyFill="1" applyBorder="1" applyAlignment="1" applyProtection="1"/>
    <xf numFmtId="11" fontId="3" fillId="0" borderId="7" xfId="0" applyNumberFormat="1" applyFont="1" applyFill="1" applyBorder="1" applyAlignment="1" applyProtection="1"/>
    <xf numFmtId="11" fontId="3" fillId="0" borderId="15" xfId="0" applyNumberFormat="1" applyFont="1" applyFill="1" applyBorder="1" applyAlignment="1" applyProtection="1"/>
    <xf numFmtId="0" fontId="3" fillId="0" borderId="18" xfId="0" applyFont="1" applyFill="1" applyBorder="1"/>
    <xf numFmtId="170" fontId="4" fillId="0" borderId="6" xfId="3" applyNumberFormat="1" applyBorder="1"/>
    <xf numFmtId="170" fontId="4" fillId="0" borderId="7" xfId="3" applyNumberFormat="1" applyFill="1" applyBorder="1"/>
    <xf numFmtId="170" fontId="4" fillId="0" borderId="15" xfId="3" applyNumberFormat="1" applyFill="1" applyBorder="1"/>
    <xf numFmtId="169" fontId="4" fillId="0" borderId="1" xfId="1" applyNumberFormat="1" applyFont="1" applyBorder="1"/>
    <xf numFmtId="10" fontId="4" fillId="0" borderId="4" xfId="2" applyNumberFormat="1" applyFont="1" applyFill="1" applyBorder="1"/>
    <xf numFmtId="170" fontId="3" fillId="0" borderId="20" xfId="0" applyNumberFormat="1" applyFont="1" applyBorder="1"/>
    <xf numFmtId="170" fontId="3" fillId="0" borderId="21" xfId="0" applyNumberFormat="1" applyFont="1" applyBorder="1"/>
    <xf numFmtId="169" fontId="4" fillId="0" borderId="19" xfId="1" applyNumberFormat="1" applyFont="1" applyBorder="1"/>
    <xf numFmtId="169" fontId="4" fillId="0" borderId="20" xfId="1" applyNumberFormat="1" applyFont="1" applyBorder="1"/>
    <xf numFmtId="169" fontId="4" fillId="0" borderId="21" xfId="1" applyNumberFormat="1" applyFont="1" applyBorder="1"/>
    <xf numFmtId="0" fontId="3" fillId="2" borderId="33" xfId="0" applyFont="1" applyFill="1" applyBorder="1"/>
    <xf numFmtId="0" fontId="3" fillId="2" borderId="27" xfId="0" applyFont="1" applyFill="1" applyBorder="1"/>
    <xf numFmtId="0" fontId="3" fillId="2" borderId="28" xfId="0" applyFont="1" applyFill="1" applyBorder="1"/>
    <xf numFmtId="169" fontId="3" fillId="0" borderId="17" xfId="1" applyNumberFormat="1" applyFont="1" applyBorder="1"/>
    <xf numFmtId="168" fontId="3" fillId="0" borderId="17" xfId="2" applyNumberFormat="1" applyFont="1" applyBorder="1"/>
    <xf numFmtId="0" fontId="5" fillId="0" borderId="30" xfId="0" applyFont="1" applyBorder="1" applyAlignment="1">
      <alignment horizontal="left"/>
    </xf>
    <xf numFmtId="166" fontId="3" fillId="0" borderId="17" xfId="2" applyNumberFormat="1" applyFont="1" applyBorder="1"/>
    <xf numFmtId="168" fontId="3" fillId="0" borderId="20" xfId="2" applyNumberFormat="1" applyFont="1" applyBorder="1"/>
    <xf numFmtId="2" fontId="3" fillId="0" borderId="21" xfId="2" applyNumberFormat="1" applyFont="1" applyBorder="1"/>
    <xf numFmtId="0" fontId="5" fillId="2" borderId="32" xfId="0" applyFont="1" applyFill="1" applyBorder="1"/>
    <xf numFmtId="0" fontId="5" fillId="2" borderId="7" xfId="0" applyFont="1" applyFill="1" applyBorder="1"/>
    <xf numFmtId="168" fontId="5" fillId="2" borderId="7" xfId="2" applyNumberFormat="1" applyFont="1" applyFill="1" applyBorder="1"/>
    <xf numFmtId="168" fontId="5" fillId="2" borderId="15" xfId="2" applyNumberFormat="1" applyFont="1" applyFill="1" applyBorder="1"/>
    <xf numFmtId="0" fontId="5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168" fontId="3" fillId="0" borderId="21" xfId="2" applyNumberFormat="1" applyFont="1" applyBorder="1"/>
    <xf numFmtId="0" fontId="3" fillId="0" borderId="33" xfId="0" applyFont="1" applyBorder="1"/>
    <xf numFmtId="11" fontId="3" fillId="0" borderId="17" xfId="0" applyNumberFormat="1" applyFont="1" applyBorder="1"/>
    <xf numFmtId="173" fontId="3" fillId="0" borderId="0" xfId="0" applyNumberFormat="1" applyFont="1"/>
    <xf numFmtId="0" fontId="5" fillId="2" borderId="24" xfId="0" applyFont="1" applyFill="1" applyBorder="1"/>
    <xf numFmtId="0" fontId="5" fillId="2" borderId="22" xfId="0" applyFont="1" applyFill="1" applyBorder="1"/>
    <xf numFmtId="1" fontId="5" fillId="2" borderId="22" xfId="2" applyNumberFormat="1" applyFont="1" applyFill="1" applyBorder="1"/>
    <xf numFmtId="1" fontId="5" fillId="2" borderId="23" xfId="2" applyNumberFormat="1" applyFont="1" applyFill="1" applyBorder="1"/>
    <xf numFmtId="164" fontId="3" fillId="0" borderId="17" xfId="0" applyNumberFormat="1" applyFont="1" applyBorder="1"/>
    <xf numFmtId="43" fontId="3" fillId="0" borderId="7" xfId="0" applyNumberFormat="1" applyFont="1" applyBorder="1"/>
    <xf numFmtId="0" fontId="4" fillId="0" borderId="7" xfId="0" applyFont="1" applyBorder="1" applyAlignment="1">
      <alignment horizontal="center" vertical="center" wrapText="1"/>
    </xf>
    <xf numFmtId="165" fontId="3" fillId="0" borderId="7" xfId="1" applyNumberFormat="1" applyFont="1" applyBorder="1"/>
    <xf numFmtId="0" fontId="5" fillId="0" borderId="0" xfId="0" applyFont="1" applyBorder="1"/>
    <xf numFmtId="0" fontId="8" fillId="0" borderId="0" xfId="0" applyFont="1" applyBorder="1"/>
    <xf numFmtId="2" fontId="3" fillId="0" borderId="20" xfId="2" applyNumberFormat="1" applyFont="1" applyBorder="1"/>
    <xf numFmtId="0" fontId="9" fillId="0" borderId="0" xfId="0" applyFont="1"/>
    <xf numFmtId="0" fontId="11" fillId="0" borderId="0" xfId="4" applyFont="1"/>
    <xf numFmtId="166" fontId="3" fillId="0" borderId="0" xfId="0" applyNumberFormat="1" applyFont="1" applyFill="1" applyBorder="1"/>
    <xf numFmtId="166" fontId="3" fillId="0" borderId="17" xfId="0" applyNumberFormat="1" applyFont="1" applyFill="1" applyBorder="1"/>
    <xf numFmtId="0" fontId="0" fillId="0" borderId="0" xfId="0" applyNumberFormat="1" applyFill="1" applyAlignment="1" applyProtection="1"/>
    <xf numFmtId="2" fontId="3" fillId="0" borderId="4" xfId="0" applyNumberFormat="1" applyFont="1" applyBorder="1"/>
    <xf numFmtId="2" fontId="3" fillId="0" borderId="0" xfId="0" applyNumberFormat="1" applyFont="1" applyBorder="1"/>
    <xf numFmtId="2" fontId="3" fillId="0" borderId="17" xfId="0" applyNumberFormat="1" applyFont="1" applyBorder="1"/>
    <xf numFmtId="167" fontId="3" fillId="0" borderId="4" xfId="0" applyNumberFormat="1" applyFont="1" applyFill="1" applyBorder="1"/>
    <xf numFmtId="167" fontId="3" fillId="0" borderId="0" xfId="0" applyNumberFormat="1" applyFont="1" applyFill="1" applyBorder="1"/>
    <xf numFmtId="167" fontId="4" fillId="0" borderId="0" xfId="0" applyNumberFormat="1" applyFont="1" applyFill="1" applyBorder="1"/>
    <xf numFmtId="167" fontId="3" fillId="0" borderId="17" xfId="0" applyNumberFormat="1" applyFont="1" applyFill="1" applyBorder="1"/>
    <xf numFmtId="167" fontId="3" fillId="0" borderId="6" xfId="2" applyNumberFormat="1" applyFont="1" applyFill="1" applyBorder="1"/>
    <xf numFmtId="167" fontId="3" fillId="0" borderId="7" xfId="0" applyNumberFormat="1" applyFont="1" applyFill="1" applyBorder="1"/>
    <xf numFmtId="167" fontId="4" fillId="0" borderId="7" xfId="0" applyNumberFormat="1" applyFont="1" applyFill="1" applyBorder="1"/>
    <xf numFmtId="167" fontId="3" fillId="0" borderId="15" xfId="0" applyNumberFormat="1" applyFont="1" applyFill="1" applyBorder="1"/>
    <xf numFmtId="167" fontId="3" fillId="0" borderId="4" xfId="2" applyNumberFormat="1" applyFont="1" applyFill="1" applyBorder="1"/>
    <xf numFmtId="167" fontId="4" fillId="0" borderId="0" xfId="0" applyNumberFormat="1" applyFont="1" applyBorder="1"/>
    <xf numFmtId="167" fontId="4" fillId="0" borderId="0" xfId="0" applyNumberFormat="1" applyFont="1" applyBorder="1" applyAlignment="1">
      <alignment horizontal="center" vertical="center" wrapText="1"/>
    </xf>
    <xf numFmtId="0" fontId="5" fillId="0" borderId="29" xfId="0" applyFont="1" applyFill="1" applyBorder="1"/>
    <xf numFmtId="2" fontId="3" fillId="0" borderId="6" xfId="0" applyNumberFormat="1" applyFont="1" applyBorder="1"/>
    <xf numFmtId="2" fontId="3" fillId="0" borderId="7" xfId="0" applyNumberFormat="1" applyFont="1" applyBorder="1"/>
    <xf numFmtId="2" fontId="3" fillId="0" borderId="15" xfId="0" applyNumberFormat="1" applyFont="1" applyBorder="1"/>
    <xf numFmtId="168" fontId="3" fillId="0" borderId="4" xfId="2" applyNumberFormat="1" applyFont="1" applyBorder="1"/>
    <xf numFmtId="166" fontId="3" fillId="0" borderId="17" xfId="1" applyNumberFormat="1" applyFont="1" applyFill="1" applyBorder="1" applyAlignment="1" applyProtection="1"/>
    <xf numFmtId="1" fontId="3" fillId="0" borderId="0" xfId="1" applyNumberFormat="1" applyFont="1" applyFill="1" applyBorder="1"/>
    <xf numFmtId="1" fontId="3" fillId="0" borderId="0" xfId="1" applyNumberFormat="1" applyFont="1" applyBorder="1"/>
    <xf numFmtId="167" fontId="3" fillId="0" borderId="20" xfId="0" applyNumberFormat="1" applyFont="1" applyBorder="1"/>
    <xf numFmtId="166" fontId="3" fillId="0" borderId="20" xfId="0" applyNumberFormat="1" applyFont="1" applyBorder="1"/>
    <xf numFmtId="0" fontId="5" fillId="5" borderId="24" xfId="0" applyFont="1" applyFill="1" applyBorder="1"/>
    <xf numFmtId="0" fontId="3" fillId="5" borderId="22" xfId="0" applyFont="1" applyFill="1" applyBorder="1"/>
    <xf numFmtId="0" fontId="3" fillId="5" borderId="23" xfId="0" applyFont="1" applyFill="1" applyBorder="1"/>
    <xf numFmtId="9" fontId="3" fillId="0" borderId="17" xfId="2" applyFont="1" applyBorder="1"/>
    <xf numFmtId="9" fontId="3" fillId="0" borderId="4" xfId="2" applyFont="1" applyFill="1" applyBorder="1"/>
    <xf numFmtId="9" fontId="3" fillId="0" borderId="0" xfId="2" applyFont="1" applyFill="1" applyBorder="1"/>
    <xf numFmtId="9" fontId="4" fillId="0" borderId="0" xfId="2" applyFont="1" applyFill="1" applyBorder="1"/>
    <xf numFmtId="9" fontId="3" fillId="0" borderId="17" xfId="2" applyFont="1" applyFill="1" applyBorder="1"/>
    <xf numFmtId="11" fontId="3" fillId="0" borderId="7" xfId="1" applyNumberFormat="1" applyFont="1" applyBorder="1"/>
    <xf numFmtId="11" fontId="3" fillId="0" borderId="4" xfId="1" applyNumberFormat="1" applyFont="1" applyBorder="1"/>
    <xf numFmtId="11" fontId="3" fillId="0" borderId="15" xfId="1" applyNumberFormat="1" applyFont="1" applyBorder="1"/>
    <xf numFmtId="11" fontId="3" fillId="0" borderId="0" xfId="1" applyNumberFormat="1" applyFont="1" applyBorder="1"/>
    <xf numFmtId="11" fontId="3" fillId="0" borderId="17" xfId="1" applyNumberFormat="1" applyFont="1" applyBorder="1"/>
    <xf numFmtId="0" fontId="5" fillId="0" borderId="12" xfId="0" applyFont="1" applyFill="1" applyBorder="1" applyAlignment="1">
      <alignment wrapText="1"/>
    </xf>
    <xf numFmtId="11" fontId="4" fillId="0" borderId="7" xfId="0" applyNumberFormat="1" applyFont="1" applyBorder="1"/>
    <xf numFmtId="1" fontId="3" fillId="0" borderId="15" xfId="0" applyNumberFormat="1" applyFont="1" applyFill="1" applyBorder="1"/>
    <xf numFmtId="170" fontId="3" fillId="0" borderId="17" xfId="0" applyNumberFormat="1" applyFont="1" applyFill="1" applyBorder="1"/>
    <xf numFmtId="9" fontId="3" fillId="0" borderId="0" xfId="0" applyNumberFormat="1" applyFont="1"/>
    <xf numFmtId="9" fontId="3" fillId="0" borderId="0" xfId="0" applyNumberFormat="1" applyFont="1" applyFill="1" applyBorder="1"/>
    <xf numFmtId="9" fontId="4" fillId="0" borderId="0" xfId="0" applyNumberFormat="1" applyFont="1" applyFill="1" applyBorder="1"/>
    <xf numFmtId="9" fontId="3" fillId="0" borderId="17" xfId="0" applyNumberFormat="1" applyFont="1" applyFill="1" applyBorder="1"/>
    <xf numFmtId="43" fontId="3" fillId="0" borderId="6" xfId="1" applyNumberFormat="1" applyFont="1" applyFill="1" applyBorder="1" applyAlignment="1" applyProtection="1"/>
    <xf numFmtId="165" fontId="3" fillId="0" borderId="7" xfId="1" applyNumberFormat="1" applyFont="1" applyFill="1" applyBorder="1" applyAlignment="1" applyProtection="1"/>
    <xf numFmtId="166" fontId="3" fillId="0" borderId="15" xfId="1" applyNumberFormat="1" applyFont="1" applyFill="1" applyBorder="1" applyAlignment="1" applyProtection="1"/>
    <xf numFmtId="0" fontId="3" fillId="0" borderId="0" xfId="2" applyNumberFormat="1" applyFont="1" applyBorder="1"/>
    <xf numFmtId="0" fontId="4" fillId="0" borderId="0" xfId="2" applyNumberFormat="1" applyFont="1" applyBorder="1"/>
    <xf numFmtId="0" fontId="3" fillId="0" borderId="17" xfId="2" applyNumberFormat="1" applyFont="1" applyBorder="1"/>
    <xf numFmtId="0" fontId="4" fillId="0" borderId="6" xfId="2" applyNumberFormat="1" applyFont="1" applyBorder="1"/>
    <xf numFmtId="0" fontId="4" fillId="0" borderId="7" xfId="1" applyNumberFormat="1" applyFont="1" applyBorder="1"/>
    <xf numFmtId="0" fontId="4" fillId="0" borderId="7" xfId="1" applyNumberFormat="1" applyFont="1" applyFill="1" applyBorder="1"/>
    <xf numFmtId="0" fontId="4" fillId="0" borderId="15" xfId="1" applyNumberFormat="1" applyFont="1" applyFill="1" applyBorder="1"/>
    <xf numFmtId="0" fontId="16" fillId="0" borderId="0" xfId="0" applyFont="1"/>
    <xf numFmtId="0" fontId="10" fillId="0" borderId="0" xfId="4"/>
    <xf numFmtId="0" fontId="1" fillId="0" borderId="0" xfId="0" applyFont="1"/>
    <xf numFmtId="0" fontId="1" fillId="0" borderId="0" xfId="0" applyFont="1"/>
    <xf numFmtId="0" fontId="3" fillId="4" borderId="0" xfId="0" applyFont="1" applyFill="1" applyAlignment="1">
      <alignment horizontal="left" vertical="center" wrapText="1"/>
    </xf>
    <xf numFmtId="0" fontId="5" fillId="0" borderId="3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5" fillId="0" borderId="2" xfId="0" applyFont="1" applyBorder="1" applyAlignment="1">
      <alignment horizontal="left"/>
    </xf>
  </cellXfs>
  <cellStyles count="15">
    <cellStyle name="Bad 2" xfId="13"/>
    <cellStyle name="Comma" xfId="1" builtinId="3"/>
    <cellStyle name="Comma 2" xfId="14"/>
    <cellStyle name="Dezimal 2" xfId="11"/>
    <cellStyle name="Hyperlink" xfId="4" builtinId="8"/>
    <cellStyle name="Hyperlink 2" xfId="9"/>
    <cellStyle name="Link 2" xfId="10"/>
    <cellStyle name="Normal" xfId="0" builtinId="0"/>
    <cellStyle name="Normal 2" xfId="5"/>
    <cellStyle name="Percent" xfId="2" builtinId="5"/>
    <cellStyle name="Prozent 2" xfId="8"/>
    <cellStyle name="Standard 2" xfId="6"/>
    <cellStyle name="Standard 3" xfId="7"/>
    <cellStyle name="Standard 4" xfId="3"/>
    <cellStyle name="Standard_Tabelle von Klärschlamm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CH"/>
              <a:t>Nitrous oxide emissions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Overview!$B$19</c:f>
              <c:strCache>
                <c:ptCount val="1"/>
                <c:pt idx="0">
                  <c:v>2006 IPCC GL: N2O</c:v>
                </c:pt>
              </c:strCache>
            </c:strRef>
          </c:tx>
          <c:spPr>
            <a:ln w="19050" cap="rnd">
              <a:solidFill>
                <a:schemeClr val="accent5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shade val="86000"/>
                </a:schemeClr>
              </a:solidFill>
              <a:ln w="9525">
                <a:solidFill>
                  <a:schemeClr val="accent5">
                    <a:shade val="86000"/>
                  </a:schemeClr>
                </a:solidFill>
              </a:ln>
              <a:effectLst/>
            </c:spPr>
          </c:marker>
          <c:xVal>
            <c:numRef>
              <c:f>Overview!$F$17:$AI$17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xVal>
          <c:yVal>
            <c:numRef>
              <c:f>Overview!$F$20:$AI$20</c:f>
              <c:numCache>
                <c:formatCode>_ * #,##0.0_ ;_ * \-#,##0.0_ ;_ * "-"??_ ;_ @_ </c:formatCode>
                <c:ptCount val="30"/>
                <c:pt idx="0">
                  <c:v>270.9723947428572</c:v>
                </c:pt>
                <c:pt idx="1">
                  <c:v>277.8723814857143</c:v>
                </c:pt>
                <c:pt idx="2">
                  <c:v>281.9418879085714</c:v>
                </c:pt>
                <c:pt idx="3">
                  <c:v>277.53274363428574</c:v>
                </c:pt>
                <c:pt idx="4">
                  <c:v>281.57794429714284</c:v>
                </c:pt>
                <c:pt idx="5">
                  <c:v>280.28168595428571</c:v>
                </c:pt>
                <c:pt idx="6">
                  <c:v>278.92935794285722</c:v>
                </c:pt>
                <c:pt idx="7">
                  <c:v>280.27889772571433</c:v>
                </c:pt>
                <c:pt idx="8">
                  <c:v>281.66435360000003</c:v>
                </c:pt>
                <c:pt idx="9">
                  <c:v>278.92987221257147</c:v>
                </c:pt>
                <c:pt idx="10">
                  <c:v>288.41196130971429</c:v>
                </c:pt>
                <c:pt idx="11">
                  <c:v>284.29472179428569</c:v>
                </c:pt>
                <c:pt idx="12">
                  <c:v>285.62391466285715</c:v>
                </c:pt>
                <c:pt idx="13">
                  <c:v>294.13353033142863</c:v>
                </c:pt>
                <c:pt idx="14">
                  <c:v>298.4796600617143</c:v>
                </c:pt>
                <c:pt idx="15">
                  <c:v>295.41810782628568</c:v>
                </c:pt>
                <c:pt idx="16">
                  <c:v>303.55767469714283</c:v>
                </c:pt>
                <c:pt idx="17">
                  <c:v>307.52755769142857</c:v>
                </c:pt>
                <c:pt idx="18">
                  <c:v>317.86884070857144</c:v>
                </c:pt>
                <c:pt idx="19">
                  <c:v>320.66108962285716</c:v>
                </c:pt>
                <c:pt idx="20">
                  <c:v>328.44175972571423</c:v>
                </c:pt>
                <c:pt idx="21">
                  <c:v>337.34676804571433</c:v>
                </c:pt>
                <c:pt idx="22">
                  <c:v>322.52357456000004</c:v>
                </c:pt>
                <c:pt idx="23">
                  <c:v>330.35057186285707</c:v>
                </c:pt>
                <c:pt idx="24">
                  <c:v>330.65941986285719</c:v>
                </c:pt>
                <c:pt idx="25">
                  <c:v>342.26093421714285</c:v>
                </c:pt>
                <c:pt idx="26">
                  <c:v>334.99912875428572</c:v>
                </c:pt>
                <c:pt idx="27">
                  <c:v>335.28018043428574</c:v>
                </c:pt>
                <c:pt idx="28">
                  <c:v>338.35586068571428</c:v>
                </c:pt>
                <c:pt idx="29">
                  <c:v>341.38502665142863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258-45B9-8403-C9B8F19FFCBB}"/>
            </c:ext>
          </c:extLst>
        </c:ser>
        <c:ser>
          <c:idx val="2"/>
          <c:order val="1"/>
          <c:tx>
            <c:strRef>
              <c:f>Overview!$B$21</c:f>
              <c:strCache>
                <c:ptCount val="1"/>
                <c:pt idx="0">
                  <c:v>2019 IPCC GL: N2O</c:v>
                </c:pt>
              </c:strCache>
            </c:strRef>
          </c:tx>
          <c:spPr>
            <a:ln w="19050" cap="rnd">
              <a:solidFill>
                <a:schemeClr val="accent5">
                  <a:tint val="86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5">
                  <a:tint val="86000"/>
                </a:schemeClr>
              </a:solidFill>
              <a:ln w="9525">
                <a:solidFill>
                  <a:schemeClr val="accent5">
                    <a:tint val="86000"/>
                  </a:schemeClr>
                </a:solidFill>
              </a:ln>
              <a:effectLst/>
            </c:spPr>
          </c:marker>
          <c:xVal>
            <c:numRef>
              <c:f>Overview!$F$17:$AI$17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xVal>
          <c:yVal>
            <c:numRef>
              <c:f>Overview!$F$22:$AI$22</c:f>
              <c:numCache>
                <c:formatCode>_ * #,##0.0_ ;_ * \-#,##0.0_ ;_ * "-"??_ ;_ @_ </c:formatCode>
                <c:ptCount val="30"/>
                <c:pt idx="0">
                  <c:v>1392.6681316994302</c:v>
                </c:pt>
                <c:pt idx="1">
                  <c:v>1406.606711309488</c:v>
                </c:pt>
                <c:pt idx="2">
                  <c:v>1408.0537013060602</c:v>
                </c:pt>
                <c:pt idx="3">
                  <c:v>1372.8683447235426</c:v>
                </c:pt>
                <c:pt idx="4">
                  <c:v>1374.1218422825148</c:v>
                </c:pt>
                <c:pt idx="5">
                  <c:v>1356.2478808937153</c:v>
                </c:pt>
                <c:pt idx="6">
                  <c:v>1338.4780818665158</c:v>
                </c:pt>
                <c:pt idx="7">
                  <c:v>1341.7388307684121</c:v>
                </c:pt>
                <c:pt idx="8">
                  <c:v>1342.6949778844805</c:v>
                </c:pt>
                <c:pt idx="9">
                  <c:v>1326.0715957530178</c:v>
                </c:pt>
                <c:pt idx="10">
                  <c:v>1357.3851264914292</c:v>
                </c:pt>
                <c:pt idx="11">
                  <c:v>1330.3851050806181</c:v>
                </c:pt>
                <c:pt idx="12">
                  <c:v>1326.6957336698069</c:v>
                </c:pt>
                <c:pt idx="13">
                  <c:v>1356.5309764356132</c:v>
                </c:pt>
                <c:pt idx="14">
                  <c:v>1368.88456373856</c:v>
                </c:pt>
                <c:pt idx="15">
                  <c:v>1356.3301282230859</c:v>
                </c:pt>
                <c:pt idx="16">
                  <c:v>1389.6518325546062</c:v>
                </c:pt>
                <c:pt idx="17">
                  <c:v>1400.2290366742861</c:v>
                </c:pt>
                <c:pt idx="18">
                  <c:v>1436.5724901942863</c:v>
                </c:pt>
                <c:pt idx="19">
                  <c:v>1441.6349656342863</c:v>
                </c:pt>
                <c:pt idx="20">
                  <c:v>1467.2135041142869</c:v>
                </c:pt>
                <c:pt idx="21">
                  <c:v>1497.290400822857</c:v>
                </c:pt>
                <c:pt idx="22">
                  <c:v>1433.8077494399997</c:v>
                </c:pt>
                <c:pt idx="23">
                  <c:v>1462.5434434285712</c:v>
                </c:pt>
                <c:pt idx="24">
                  <c:v>1460.5529588571428</c:v>
                </c:pt>
                <c:pt idx="25">
                  <c:v>1504.4725985142854</c:v>
                </c:pt>
                <c:pt idx="26">
                  <c:v>1471.8554596114284</c:v>
                </c:pt>
                <c:pt idx="27">
                  <c:v>1469.8450701942854</c:v>
                </c:pt>
                <c:pt idx="28">
                  <c:v>1479.1302329895773</c:v>
                </c:pt>
                <c:pt idx="29">
                  <c:v>1488.1981371540803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258-45B9-8403-C9B8F19FFCBB}"/>
            </c:ext>
          </c:extLst>
        </c:ser>
        <c:ser>
          <c:idx val="3"/>
          <c:order val="2"/>
          <c:tx>
            <c:strRef>
              <c:f>Overview!$B$23</c:f>
              <c:strCache>
                <c:ptCount val="1"/>
                <c:pt idx="0">
                  <c:v>Proposed N2O meth.</c:v>
                </c:pt>
              </c:strCache>
            </c:strRef>
          </c:tx>
          <c:spPr>
            <a:ln w="19050" cap="rnd">
              <a:solidFill>
                <a:schemeClr val="accent5">
                  <a:tint val="58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5">
                  <a:tint val="58000"/>
                </a:schemeClr>
              </a:solidFill>
              <a:ln w="9525">
                <a:solidFill>
                  <a:schemeClr val="accent5">
                    <a:tint val="58000"/>
                  </a:schemeClr>
                </a:solidFill>
              </a:ln>
              <a:effectLst/>
            </c:spPr>
          </c:marker>
          <c:xVal>
            <c:numRef>
              <c:f>Overview!$F$17:$AI$17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xVal>
          <c:yVal>
            <c:numRef>
              <c:f>Overview!$F$24:$AI$24</c:f>
              <c:numCache>
                <c:formatCode>_ * #,##0.0_ ;_ * \-#,##0.0_ ;_ * "-"??_ ;_ @_ </c:formatCode>
                <c:ptCount val="30"/>
                <c:pt idx="0">
                  <c:v>3756.9904022509672</c:v>
                </c:pt>
                <c:pt idx="1">
                  <c:v>3722.5159481199867</c:v>
                </c:pt>
                <c:pt idx="2">
                  <c:v>3653.7693036857258</c:v>
                </c:pt>
                <c:pt idx="3">
                  <c:v>3574.630359352956</c:v>
                </c:pt>
                <c:pt idx="4">
                  <c:v>3514.2126023775722</c:v>
                </c:pt>
                <c:pt idx="5">
                  <c:v>3438.5723610043474</c:v>
                </c:pt>
                <c:pt idx="6">
                  <c:v>3337.8093395197911</c:v>
                </c:pt>
                <c:pt idx="7">
                  <c:v>3245.4350565834643</c:v>
                </c:pt>
                <c:pt idx="8">
                  <c:v>3155.8058808190749</c:v>
                </c:pt>
                <c:pt idx="9">
                  <c:v>3063.1493461292612</c:v>
                </c:pt>
                <c:pt idx="10">
                  <c:v>2973.3565739438745</c:v>
                </c:pt>
                <c:pt idx="11">
                  <c:v>2899.9081422859304</c:v>
                </c:pt>
                <c:pt idx="12">
                  <c:v>2818.2020588795931</c:v>
                </c:pt>
                <c:pt idx="13">
                  <c:v>2737.1754922609016</c:v>
                </c:pt>
                <c:pt idx="14">
                  <c:v>2650.649734773222</c:v>
                </c:pt>
                <c:pt idx="15">
                  <c:v>2560.3180094004056</c:v>
                </c:pt>
                <c:pt idx="16">
                  <c:v>2470.5165513310808</c:v>
                </c:pt>
                <c:pt idx="17">
                  <c:v>2381.7163667959358</c:v>
                </c:pt>
                <c:pt idx="18">
                  <c:v>2301.8447875254055</c:v>
                </c:pt>
                <c:pt idx="19">
                  <c:v>2220.2555376581072</c:v>
                </c:pt>
                <c:pt idx="20">
                  <c:v>2131.9140493727527</c:v>
                </c:pt>
                <c:pt idx="21">
                  <c:v>2103.4571627141549</c:v>
                </c:pt>
                <c:pt idx="22">
                  <c:v>2082.2854244949249</c:v>
                </c:pt>
                <c:pt idx="23">
                  <c:v>2062.4254778423842</c:v>
                </c:pt>
                <c:pt idx="24">
                  <c:v>2044.0288027390136</c:v>
                </c:pt>
                <c:pt idx="25">
                  <c:v>2023.319191448596</c:v>
                </c:pt>
                <c:pt idx="26">
                  <c:v>2001.6190905905642</c:v>
                </c:pt>
                <c:pt idx="27">
                  <c:v>1976.6367725437131</c:v>
                </c:pt>
                <c:pt idx="28">
                  <c:v>1947.428837909983</c:v>
                </c:pt>
                <c:pt idx="29">
                  <c:v>1917.8461180821257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258-45B9-8403-C9B8F19FF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574656"/>
        <c:axId val="139794304"/>
      </c:scatterChart>
      <c:valAx>
        <c:axId val="139574656"/>
        <c:scaling>
          <c:orientation val="minMax"/>
          <c:max val="2019"/>
          <c:min val="199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CH"/>
                  <a:t>year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9794304"/>
        <c:crosses val="autoZero"/>
        <c:crossBetween val="midCat"/>
      </c:valAx>
      <c:valAx>
        <c:axId val="13979430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CH"/>
                  <a:t>emissions from wastewater </a:t>
                </a:r>
              </a:p>
              <a:p>
                <a:pPr>
                  <a:defRPr/>
                </a:pPr>
                <a:r>
                  <a:rPr lang="de-CH"/>
                  <a:t>[t N2O/y]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9574656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CH"/>
              <a:t>2006 IPCC guideline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'CH4 2006 IPCC GL'!$B$78</c:f>
              <c:strCache>
                <c:ptCount val="1"/>
                <c:pt idx="0">
                  <c:v>total CH4 emissions</c:v>
                </c:pt>
              </c:strCache>
            </c:strRef>
          </c:tx>
          <c:spPr>
            <a:ln w="19050" cap="rnd">
              <a:solidFill>
                <a:schemeClr val="accent1">
                  <a:shade val="76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>
                  <a:shade val="76000"/>
                </a:schemeClr>
              </a:solidFill>
              <a:ln w="9525">
                <a:solidFill>
                  <a:schemeClr val="accent1">
                    <a:shade val="76000"/>
                  </a:schemeClr>
                </a:solidFill>
              </a:ln>
              <a:effectLst/>
            </c:spPr>
          </c:marker>
          <c:xVal>
            <c:numRef>
              <c:f>'CH4 2006 IPCC GL'!$C$2:$AC$2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'CH4 2006 IPCC GL'!$C$79:$AC$79</c:f>
              <c:numCache>
                <c:formatCode>_ * #,##0_ ;_ * \-#,##0_ ;_ * "-"??_ ;_ @_ </c:formatCode>
                <c:ptCount val="27"/>
                <c:pt idx="0">
                  <c:v>5214.7306044627439</c:v>
                </c:pt>
                <c:pt idx="1">
                  <c:v>5337.7548259971691</c:v>
                </c:pt>
                <c:pt idx="2">
                  <c:v>5416.1395291527815</c:v>
                </c:pt>
                <c:pt idx="3">
                  <c:v>5481.7250139256448</c:v>
                </c:pt>
                <c:pt idx="4">
                  <c:v>5579.2737474052201</c:v>
                </c:pt>
                <c:pt idx="5">
                  <c:v>5655.8796021019616</c:v>
                </c:pt>
                <c:pt idx="6">
                  <c:v>5693.5703709840845</c:v>
                </c:pt>
                <c:pt idx="7">
                  <c:v>5730.2051004128707</c:v>
                </c:pt>
                <c:pt idx="8">
                  <c:v>5775.8151041186611</c:v>
                </c:pt>
                <c:pt idx="9">
                  <c:v>5816.5060802083308</c:v>
                </c:pt>
                <c:pt idx="10">
                  <c:v>5862.5603640235386</c:v>
                </c:pt>
                <c:pt idx="11">
                  <c:v>5942.8971383568951</c:v>
                </c:pt>
                <c:pt idx="12">
                  <c:v>6008.8902647794439</c:v>
                </c:pt>
                <c:pt idx="13">
                  <c:v>6078.4612680038417</c:v>
                </c:pt>
                <c:pt idx="14">
                  <c:v>6137.6428117689538</c:v>
                </c:pt>
                <c:pt idx="15">
                  <c:v>6194.2241058752543</c:v>
                </c:pt>
                <c:pt idx="16">
                  <c:v>6309.5666703133593</c:v>
                </c:pt>
                <c:pt idx="17">
                  <c:v>6372.4236628814879</c:v>
                </c:pt>
                <c:pt idx="18">
                  <c:v>6482.7962221587268</c:v>
                </c:pt>
                <c:pt idx="19">
                  <c:v>6560.0522322889947</c:v>
                </c:pt>
                <c:pt idx="20">
                  <c:v>6658.3053185232066</c:v>
                </c:pt>
                <c:pt idx="21">
                  <c:v>6728.9856364007792</c:v>
                </c:pt>
                <c:pt idx="22">
                  <c:v>6768.0909872390548</c:v>
                </c:pt>
                <c:pt idx="23">
                  <c:v>6892.7978900061999</c:v>
                </c:pt>
                <c:pt idx="24">
                  <c:v>7064.6594441724274</c:v>
                </c:pt>
                <c:pt idx="25">
                  <c:v>7183.65830156843</c:v>
                </c:pt>
                <c:pt idx="26">
                  <c:v>7325.8260789169399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571-4F6C-AF0C-4FE1AAE8CF82}"/>
            </c:ext>
          </c:extLst>
        </c:ser>
        <c:ser>
          <c:idx val="3"/>
          <c:order val="1"/>
          <c:tx>
            <c:strRef>
              <c:f>'CH4 2006 IPCC GL'!$B$76</c:f>
              <c:strCache>
                <c:ptCount val="1"/>
                <c:pt idx="0">
                  <c:v>emissions CH4 from sewage gas</c:v>
                </c:pt>
              </c:strCache>
            </c:strRef>
          </c:tx>
          <c:spPr>
            <a:ln w="19050" cap="rnd">
              <a:solidFill>
                <a:schemeClr val="accent1">
                  <a:tint val="77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>
                    <a:tint val="77000"/>
                  </a:schemeClr>
                </a:solidFill>
              </a:ln>
              <a:effectLst/>
            </c:spPr>
          </c:marker>
          <c:xVal>
            <c:numRef>
              <c:f>'CH4 2006 IPCC GL'!$C$2:$AC$2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'CH4 2006 IPCC GL'!$C$77:$AC$77</c:f>
              <c:numCache>
                <c:formatCode>_ * #,##0.0_ ;_ * \-#,##0.0_ ;_ * "-"??_ ;_ @_ </c:formatCode>
                <c:ptCount val="27"/>
                <c:pt idx="0">
                  <c:v>191.63710446274405</c:v>
                </c:pt>
                <c:pt idx="1">
                  <c:v>196.07282599716956</c:v>
                </c:pt>
                <c:pt idx="2">
                  <c:v>198.86557290278111</c:v>
                </c:pt>
                <c:pt idx="3">
                  <c:v>201.18606392564476</c:v>
                </c:pt>
                <c:pt idx="4">
                  <c:v>204.67703490522032</c:v>
                </c:pt>
                <c:pt idx="5">
                  <c:v>206.9704408519616</c:v>
                </c:pt>
                <c:pt idx="6">
                  <c:v>208.68799598408563</c:v>
                </c:pt>
                <c:pt idx="7">
                  <c:v>209.93916916287114</c:v>
                </c:pt>
                <c:pt idx="8">
                  <c:v>211.51785411866194</c:v>
                </c:pt>
                <c:pt idx="9">
                  <c:v>213.13047020833068</c:v>
                </c:pt>
                <c:pt idx="10">
                  <c:v>214.50711152353773</c:v>
                </c:pt>
                <c:pt idx="11">
                  <c:v>217.35155710689514</c:v>
                </c:pt>
                <c:pt idx="12">
                  <c:v>219.66906477944443</c:v>
                </c:pt>
                <c:pt idx="13">
                  <c:v>222.11519925384272</c:v>
                </c:pt>
                <c:pt idx="14">
                  <c:v>224.17962676895385</c:v>
                </c:pt>
                <c:pt idx="15">
                  <c:v>231.15413587525444</c:v>
                </c:pt>
                <c:pt idx="16">
                  <c:v>294.97640281335822</c:v>
                </c:pt>
                <c:pt idx="17">
                  <c:v>303.03302538148785</c:v>
                </c:pt>
                <c:pt idx="18">
                  <c:v>333.78457590872648</c:v>
                </c:pt>
                <c:pt idx="19">
                  <c:v>332.86497728899451</c:v>
                </c:pt>
                <c:pt idx="20">
                  <c:v>369.65242852320603</c:v>
                </c:pt>
                <c:pt idx="21">
                  <c:v>406.6943464007789</c:v>
                </c:pt>
                <c:pt idx="22">
                  <c:v>377.87821598905543</c:v>
                </c:pt>
                <c:pt idx="23">
                  <c:v>429.07010375620052</c:v>
                </c:pt>
                <c:pt idx="24">
                  <c:v>521.0240329224282</c:v>
                </c:pt>
                <c:pt idx="25">
                  <c:v>565.70879906842993</c:v>
                </c:pt>
                <c:pt idx="26">
                  <c:v>635.16063766694049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571-4F6C-AF0C-4FE1AAE8CF82}"/>
            </c:ext>
          </c:extLst>
        </c:ser>
        <c:ser>
          <c:idx val="4"/>
          <c:order val="2"/>
          <c:tx>
            <c:strRef>
              <c:f>'CH4 2006 IPCC GL'!$B$62</c:f>
              <c:strCache>
                <c:ptCount val="1"/>
                <c:pt idx="0">
                  <c:v>emissionfrom WWTP</c:v>
                </c:pt>
              </c:strCache>
            </c:strRef>
          </c:tx>
          <c:spPr>
            <a:ln w="19050" cap="rnd">
              <a:solidFill>
                <a:schemeClr val="accent1">
                  <a:tint val="54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tint val="54000"/>
                </a:schemeClr>
              </a:solidFill>
              <a:ln w="9525">
                <a:solidFill>
                  <a:schemeClr val="accent1">
                    <a:tint val="54000"/>
                  </a:schemeClr>
                </a:solidFill>
              </a:ln>
              <a:effectLst/>
            </c:spPr>
          </c:marker>
          <c:xVal>
            <c:numRef>
              <c:f>'CH4 2006 IPCC GL'!$C$2:$AC$2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'CH4 2006 IPCC GL'!$C$63:$AC$63</c:f>
              <c:numCache>
                <c:formatCode>_ * #,##0_ ;_ * \-#,##0_ ;_ * "-"??_ ;_ @_ </c:formatCode>
                <c:ptCount val="27"/>
                <c:pt idx="0">
                  <c:v>5023.0934999999999</c:v>
                </c:pt>
                <c:pt idx="1">
                  <c:v>5141.6819999999998</c:v>
                </c:pt>
                <c:pt idx="2">
                  <c:v>5217.2739562500001</c:v>
                </c:pt>
                <c:pt idx="3">
                  <c:v>5280.5389500000001</c:v>
                </c:pt>
                <c:pt idx="4">
                  <c:v>5374.5967124999997</c:v>
                </c:pt>
                <c:pt idx="5">
                  <c:v>5448.9091612499997</c:v>
                </c:pt>
                <c:pt idx="6">
                  <c:v>5484.8823749999992</c:v>
                </c:pt>
                <c:pt idx="7">
                  <c:v>5520.26593125</c:v>
                </c:pt>
                <c:pt idx="8">
                  <c:v>5564.2972499999996</c:v>
                </c:pt>
                <c:pt idx="9">
                  <c:v>5603.3756100000001</c:v>
                </c:pt>
                <c:pt idx="10">
                  <c:v>5648.0532525000008</c:v>
                </c:pt>
                <c:pt idx="11">
                  <c:v>5725.5455812499995</c:v>
                </c:pt>
                <c:pt idx="12">
                  <c:v>5789.221199999999</c:v>
                </c:pt>
                <c:pt idx="13">
                  <c:v>5856.3460687499992</c:v>
                </c:pt>
                <c:pt idx="14">
                  <c:v>5913.4631849999996</c:v>
                </c:pt>
                <c:pt idx="15">
                  <c:v>5963.0699699999996</c:v>
                </c:pt>
                <c:pt idx="16">
                  <c:v>6014.5902675000007</c:v>
                </c:pt>
                <c:pt idx="17">
                  <c:v>6069.3906374999997</c:v>
                </c:pt>
                <c:pt idx="18">
                  <c:v>6149.01164625</c:v>
                </c:pt>
                <c:pt idx="19">
                  <c:v>6227.1872549999998</c:v>
                </c:pt>
                <c:pt idx="20">
                  <c:v>6288.6528900000003</c:v>
                </c:pt>
                <c:pt idx="21">
                  <c:v>6322.2912900000001</c:v>
                </c:pt>
                <c:pt idx="22">
                  <c:v>6390.2127712499996</c:v>
                </c:pt>
                <c:pt idx="23">
                  <c:v>6463.7277862499996</c:v>
                </c:pt>
                <c:pt idx="24">
                  <c:v>6543.6354112499994</c:v>
                </c:pt>
                <c:pt idx="25">
                  <c:v>6617.9495024999997</c:v>
                </c:pt>
                <c:pt idx="26">
                  <c:v>6690.6654412499993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571-4F6C-AF0C-4FE1AAE8C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507968"/>
        <c:axId val="157510272"/>
      </c:scatterChart>
      <c:valAx>
        <c:axId val="157507968"/>
        <c:scaling>
          <c:orientation val="minMax"/>
          <c:max val="2016"/>
          <c:min val="199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CH"/>
                  <a:t>year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57510272"/>
        <c:crosses val="autoZero"/>
        <c:crossBetween val="midCat"/>
      </c:valAx>
      <c:valAx>
        <c:axId val="157510272"/>
        <c:scaling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CH"/>
                  <a:t>emissions [t CH4/y]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_ * #,##0_ ;_ * \-#,##0_ ;_ * &quot;-&quot;??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57507968"/>
        <c:crosses val="autoZero"/>
        <c:crossBetween val="midCat"/>
        <c:majorUnit val="200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CH"/>
              <a:t>Tier 3 methodology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'Proposed CH4 meth.'!$B$67</c:f>
              <c:strCache>
                <c:ptCount val="1"/>
                <c:pt idx="0">
                  <c:v>total CH4 emissions</c:v>
                </c:pt>
              </c:strCache>
            </c:strRef>
          </c:tx>
          <c:spPr>
            <a:ln w="19050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>
                  <a:shade val="65000"/>
                </a:schemeClr>
              </a:solidFill>
              <a:ln w="9525">
                <a:solidFill>
                  <a:schemeClr val="accent1">
                    <a:shade val="65000"/>
                  </a:schemeClr>
                </a:solidFill>
              </a:ln>
              <a:effectLst/>
            </c:spPr>
          </c:marker>
          <c:xVal>
            <c:numRef>
              <c:f>'Proposed CH4 meth.'!$C$2:$AC$2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'Proposed CH4 meth.'!$C$68:$AC$68</c:f>
              <c:numCache>
                <c:formatCode>_ * #,##0_ ;_ * \-#,##0_ ;_ * "-"??_ ;_ @_ </c:formatCode>
                <c:ptCount val="27"/>
                <c:pt idx="0">
                  <c:v>4018.5342504741188</c:v>
                </c:pt>
                <c:pt idx="1">
                  <c:v>4113.4059546856151</c:v>
                </c:pt>
                <c:pt idx="2">
                  <c:v>4173.8821092230046</c:v>
                </c:pt>
                <c:pt idx="3">
                  <c:v>4224.4956799095671</c:v>
                </c:pt>
                <c:pt idx="4">
                  <c:v>4299.7427088504865</c:v>
                </c:pt>
                <c:pt idx="5">
                  <c:v>4349.8890392154026</c:v>
                </c:pt>
                <c:pt idx="6">
                  <c:v>4387.9730823649761</c:v>
                </c:pt>
                <c:pt idx="7">
                  <c:v>4416.280634394564</c:v>
                </c:pt>
                <c:pt idx="8">
                  <c:v>4451.5069671375122</c:v>
                </c:pt>
                <c:pt idx="9">
                  <c:v>4487.4791469786596</c:v>
                </c:pt>
                <c:pt idx="10">
                  <c:v>4518.5134782015175</c:v>
                </c:pt>
                <c:pt idx="11">
                  <c:v>4580.5071604810109</c:v>
                </c:pt>
                <c:pt idx="12">
                  <c:v>4631.4488938461245</c:v>
                </c:pt>
                <c:pt idx="13">
                  <c:v>4685.1499809873967</c:v>
                </c:pt>
                <c:pt idx="14">
                  <c:v>4730.8446811896429</c:v>
                </c:pt>
                <c:pt idx="15">
                  <c:v>4775.9604825827182</c:v>
                </c:pt>
                <c:pt idx="16">
                  <c:v>4822.6397611440052</c:v>
                </c:pt>
                <c:pt idx="17">
                  <c:v>4866.1997672800935</c:v>
                </c:pt>
                <c:pt idx="18">
                  <c:v>4947.7146218909165</c:v>
                </c:pt>
                <c:pt idx="19">
                  <c:v>5003.9547318370142</c:v>
                </c:pt>
                <c:pt idx="20">
                  <c:v>5074.7000798566687</c:v>
                </c:pt>
                <c:pt idx="21">
                  <c:v>5115.8296516909286</c:v>
                </c:pt>
                <c:pt idx="22">
                  <c:v>5147.0317945283223</c:v>
                </c:pt>
                <c:pt idx="23">
                  <c:v>5253.6462468444734</c:v>
                </c:pt>
                <c:pt idx="24">
                  <c:v>5387.4693287857217</c:v>
                </c:pt>
                <c:pt idx="25">
                  <c:v>5492.4585657539919</c:v>
                </c:pt>
                <c:pt idx="26">
                  <c:v>5608.1325919209212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BA5-42DB-8405-AB785292FF6F}"/>
            </c:ext>
          </c:extLst>
        </c:ser>
        <c:ser>
          <c:idx val="1"/>
          <c:order val="1"/>
          <c:tx>
            <c:strRef>
              <c:f>'Proposed CH4 meth.'!$B$52</c:f>
              <c:strCache>
                <c:ptCount val="1"/>
                <c:pt idx="0">
                  <c:v>CH4 from sewer</c:v>
                </c:pt>
              </c:strCache>
            </c:strRef>
          </c:tx>
          <c:spPr>
            <a:ln w="19050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'Proposed CH4 meth.'!$C$2:$AC$2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'Proposed CH4 meth.'!$C$53:$AC$53</c:f>
              <c:numCache>
                <c:formatCode>_ * #,##0_ ;_ * \-#,##0_ ;_ * "-"??_ ;_ @_ </c:formatCode>
                <c:ptCount val="27"/>
                <c:pt idx="0" formatCode="_(* #,##0.00_);_(* \(#,##0.00\);_(* &quot;-&quot;??_);_(@_)">
                  <c:v>870.66953999999987</c:v>
                </c:pt>
                <c:pt idx="1">
                  <c:v>891.22487999999998</c:v>
                </c:pt>
                <c:pt idx="2">
                  <c:v>904.32748574999994</c:v>
                </c:pt>
                <c:pt idx="3">
                  <c:v>915.29341799999997</c:v>
                </c:pt>
                <c:pt idx="4">
                  <c:v>931.59676349999995</c:v>
                </c:pt>
                <c:pt idx="5">
                  <c:v>942.46162724999988</c:v>
                </c:pt>
                <c:pt idx="6">
                  <c:v>950.71294499999988</c:v>
                </c:pt>
                <c:pt idx="7">
                  <c:v>956.84609475000002</c:v>
                </c:pt>
                <c:pt idx="8">
                  <c:v>964.47818999999981</c:v>
                </c:pt>
                <c:pt idx="9">
                  <c:v>972.27199484999994</c:v>
                </c:pt>
                <c:pt idx="10">
                  <c:v>978.99589709999998</c:v>
                </c:pt>
                <c:pt idx="11">
                  <c:v>992.42790074999994</c:v>
                </c:pt>
                <c:pt idx="12">
                  <c:v>1003.4650079999999</c:v>
                </c:pt>
                <c:pt idx="13">
                  <c:v>1015.0999852499999</c:v>
                </c:pt>
                <c:pt idx="14">
                  <c:v>1025.0002853999999</c:v>
                </c:pt>
                <c:pt idx="15">
                  <c:v>1033.5987948</c:v>
                </c:pt>
                <c:pt idx="16">
                  <c:v>1043.604861</c:v>
                </c:pt>
                <c:pt idx="17">
                  <c:v>1052.0277105</c:v>
                </c:pt>
                <c:pt idx="18">
                  <c:v>1064.7310244999999</c:v>
                </c:pt>
                <c:pt idx="19">
                  <c:v>1077.1581795</c:v>
                </c:pt>
                <c:pt idx="20">
                  <c:v>1087.7903009999998</c:v>
                </c:pt>
                <c:pt idx="21">
                  <c:v>1092.4850039999999</c:v>
                </c:pt>
                <c:pt idx="22">
                  <c:v>1104.2217615</c:v>
                </c:pt>
                <c:pt idx="23">
                  <c:v>1116.9250755</c:v>
                </c:pt>
                <c:pt idx="24">
                  <c:v>1130.7330254999999</c:v>
                </c:pt>
                <c:pt idx="25">
                  <c:v>1143.574419</c:v>
                </c:pt>
                <c:pt idx="26">
                  <c:v>1156.1396534999999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BA5-42DB-8405-AB785292FF6F}"/>
            </c:ext>
          </c:extLst>
        </c:ser>
        <c:ser>
          <c:idx val="2"/>
          <c:order val="2"/>
          <c:tx>
            <c:strRef>
              <c:f>'Proposed CH4 meth.'!$B$64</c:f>
              <c:strCache>
                <c:ptCount val="1"/>
                <c:pt idx="0">
                  <c:v>CH4 emissions from sewage sludge &amp; gas</c:v>
                </c:pt>
              </c:strCache>
            </c:strRef>
          </c:tx>
          <c:spPr>
            <a:ln w="19050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accent1">
                    <a:tint val="65000"/>
                  </a:schemeClr>
                </a:solidFill>
              </a:ln>
              <a:effectLst/>
            </c:spPr>
          </c:marker>
          <c:xVal>
            <c:numRef>
              <c:f>'Proposed CH4 meth.'!$C$2:$AC$2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'Proposed CH4 meth.'!$C$65:$AC$65</c:f>
              <c:numCache>
                <c:formatCode>0.0</c:formatCode>
                <c:ptCount val="27"/>
                <c:pt idx="0">
                  <c:v>5.9450474119348742E-2</c:v>
                </c:pt>
                <c:pt idx="1">
                  <c:v>6.0354685615698289E-2</c:v>
                </c:pt>
                <c:pt idx="2">
                  <c:v>6.2944223004481922E-2</c:v>
                </c:pt>
                <c:pt idx="3">
                  <c:v>6.4519909567522488E-2</c:v>
                </c:pt>
                <c:pt idx="4">
                  <c:v>6.5338850486310635E-2</c:v>
                </c:pt>
                <c:pt idx="5">
                  <c:v>6.6144215403547424E-2</c:v>
                </c:pt>
                <c:pt idx="6">
                  <c:v>6.7182364977066228E-2</c:v>
                </c:pt>
                <c:pt idx="7">
                  <c:v>6.7889394564072156E-2</c:v>
                </c:pt>
                <c:pt idx="8">
                  <c:v>6.9167137512249066E-2</c:v>
                </c:pt>
                <c:pt idx="9">
                  <c:v>6.9939978659655122E-2</c:v>
                </c:pt>
                <c:pt idx="10">
                  <c:v>7.0876201517368245E-2</c:v>
                </c:pt>
                <c:pt idx="11">
                  <c:v>7.0695481010404043E-2</c:v>
                </c:pt>
                <c:pt idx="12">
                  <c:v>7.1933846124430934E-2</c:v>
                </c:pt>
                <c:pt idx="13">
                  <c:v>7.3125987396719661E-2</c:v>
                </c:pt>
                <c:pt idx="14">
                  <c:v>7.4133189642805145E-2</c:v>
                </c:pt>
                <c:pt idx="15">
                  <c:v>5.5045065827184176</c:v>
                </c:pt>
                <c:pt idx="16">
                  <c:v>6.0019411440054755</c:v>
                </c:pt>
                <c:pt idx="17">
                  <c:v>10.68725728009357</c:v>
                </c:pt>
                <c:pt idx="18">
                  <c:v>33.571431890916863</c:v>
                </c:pt>
                <c:pt idx="19">
                  <c:v>32.455441837013609</c:v>
                </c:pt>
                <c:pt idx="20">
                  <c:v>54.129459856669783</c:v>
                </c:pt>
                <c:pt idx="21">
                  <c:v>73.591171690928917</c:v>
                </c:pt>
                <c:pt idx="22">
                  <c:v>50.62366452832206</c:v>
                </c:pt>
                <c:pt idx="23">
                  <c:v>98.607436844472161</c:v>
                </c:pt>
                <c:pt idx="24">
                  <c:v>168.70151878572204</c:v>
                </c:pt>
                <c:pt idx="25">
                  <c:v>214.42278575399172</c:v>
                </c:pt>
                <c:pt idx="26">
                  <c:v>272.10342192092054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BA5-42DB-8405-AB785292FF6F}"/>
            </c:ext>
          </c:extLst>
        </c:ser>
        <c:ser>
          <c:idx val="3"/>
          <c:order val="3"/>
          <c:tx>
            <c:strRef>
              <c:f>'Proposed CH4 meth.'!$B$54</c:f>
              <c:strCache>
                <c:ptCount val="1"/>
                <c:pt idx="0">
                  <c:v>CH4 from WWTP</c:v>
                </c:pt>
              </c:strCache>
            </c:strRef>
          </c:tx>
          <c:spPr>
            <a:ln w="19050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9525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xVal>
            <c:numRef>
              <c:f>'Proposed CH4 meth.'!$C$2:$AC$2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'Proposed CH4 meth.'!$C$55:$AF$55</c:f>
              <c:numCache>
                <c:formatCode>_ * #,##0_ ;_ * \-#,##0_ ;_ * "-"??_ ;_ @_ </c:formatCode>
                <c:ptCount val="30"/>
                <c:pt idx="0" formatCode="_(* #,##0.00_);_(* \(#,##0.00\);_(* &quot;-&quot;??_);_(@_)">
                  <c:v>3147.8052599999996</c:v>
                </c:pt>
                <c:pt idx="1">
                  <c:v>3222.1207199999999</c:v>
                </c:pt>
                <c:pt idx="2">
                  <c:v>3269.4916792499998</c:v>
                </c:pt>
                <c:pt idx="3">
                  <c:v>3309.1377419999999</c:v>
                </c:pt>
                <c:pt idx="4">
                  <c:v>3368.0806065000002</c:v>
                </c:pt>
                <c:pt idx="5">
                  <c:v>3407.3612677499996</c:v>
                </c:pt>
                <c:pt idx="6">
                  <c:v>3437.1929549999995</c:v>
                </c:pt>
                <c:pt idx="7">
                  <c:v>3459.36665025</c:v>
                </c:pt>
                <c:pt idx="8">
                  <c:v>3486.9596099999999</c:v>
                </c:pt>
                <c:pt idx="9">
                  <c:v>3515.1372121499999</c:v>
                </c:pt>
                <c:pt idx="10">
                  <c:v>3539.4467049</c:v>
                </c:pt>
                <c:pt idx="11">
                  <c:v>3588.0085642500003</c:v>
                </c:pt>
                <c:pt idx="12">
                  <c:v>3627.9119519999999</c:v>
                </c:pt>
                <c:pt idx="13">
                  <c:v>3669.9768697499999</c:v>
                </c:pt>
                <c:pt idx="14">
                  <c:v>3705.7702625999996</c:v>
                </c:pt>
                <c:pt idx="15">
                  <c:v>3736.8571812</c:v>
                </c:pt>
                <c:pt idx="16">
                  <c:v>3773.0329590000001</c:v>
                </c:pt>
                <c:pt idx="17">
                  <c:v>3803.4847995</c:v>
                </c:pt>
                <c:pt idx="18">
                  <c:v>3849.4121654999999</c:v>
                </c:pt>
                <c:pt idx="19">
                  <c:v>3894.3411105</c:v>
                </c:pt>
                <c:pt idx="20">
                  <c:v>3932.7803189999995</c:v>
                </c:pt>
                <c:pt idx="21">
                  <c:v>3949.7534759999999</c:v>
                </c:pt>
                <c:pt idx="22">
                  <c:v>3992.1863684999998</c:v>
                </c:pt>
                <c:pt idx="23">
                  <c:v>4038.1137345000002</c:v>
                </c:pt>
                <c:pt idx="24">
                  <c:v>4088.0347845000001</c:v>
                </c:pt>
                <c:pt idx="25">
                  <c:v>4134.4613610000006</c:v>
                </c:pt>
                <c:pt idx="26">
                  <c:v>4179.8895165000004</c:v>
                </c:pt>
                <c:pt idx="27">
                  <c:v>4219.3271459999996</c:v>
                </c:pt>
                <c:pt idx="28">
                  <c:v>4250.2781970000005</c:v>
                </c:pt>
                <c:pt idx="29" formatCode="_ * #,##0.000_ ;_ * \-#,##0.000_ ;_ * &quot;-&quot;??_ ;_ @_ ">
                  <c:v>4280.7300375000004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5A1-483B-8D50-FC163A1985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290496"/>
        <c:axId val="139297152"/>
      </c:scatterChart>
      <c:valAx>
        <c:axId val="139290496"/>
        <c:scaling>
          <c:orientation val="minMax"/>
          <c:max val="2016"/>
          <c:min val="199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CH"/>
                  <a:t>year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9297152"/>
        <c:crosses val="autoZero"/>
        <c:crossBetween val="midCat"/>
      </c:valAx>
      <c:valAx>
        <c:axId val="139297152"/>
        <c:scaling>
          <c:orientation val="minMax"/>
          <c:max val="1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CH"/>
                  <a:t>emissions [t CH4/y]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_ * #,##0_ ;_ * \-#,##0_ ;_ * &quot;-&quot;??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9290496"/>
        <c:crosses val="autoZero"/>
        <c:crossBetween val="midCat"/>
        <c:majorUnit val="2000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Methane emissions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Overview!$B$27</c:f>
              <c:strCache>
                <c:ptCount val="1"/>
                <c:pt idx="0">
                  <c:v>2006 IPCC GL: CH4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Overview!$F$17:$AI$17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xVal>
          <c:yVal>
            <c:numRef>
              <c:f>Overview!$F$28:$AI$28</c:f>
              <c:numCache>
                <c:formatCode>_ * #,##0_ ;_ * \-#,##0_ ;_ * "-"??_ ;_ @_ </c:formatCode>
                <c:ptCount val="30"/>
                <c:pt idx="0">
                  <c:v>5214.7306044627439</c:v>
                </c:pt>
                <c:pt idx="1">
                  <c:v>5337.7548259971691</c:v>
                </c:pt>
                <c:pt idx="2">
                  <c:v>5416.1395291527815</c:v>
                </c:pt>
                <c:pt idx="3">
                  <c:v>5481.7250139256448</c:v>
                </c:pt>
                <c:pt idx="4">
                  <c:v>5579.2737474052201</c:v>
                </c:pt>
                <c:pt idx="5">
                  <c:v>5655.8796021019616</c:v>
                </c:pt>
                <c:pt idx="6">
                  <c:v>5693.5703709840845</c:v>
                </c:pt>
                <c:pt idx="7">
                  <c:v>5730.2051004128707</c:v>
                </c:pt>
                <c:pt idx="8">
                  <c:v>5775.8151041186611</c:v>
                </c:pt>
                <c:pt idx="9">
                  <c:v>5816.5060802083308</c:v>
                </c:pt>
                <c:pt idx="10">
                  <c:v>5862.5603640235386</c:v>
                </c:pt>
                <c:pt idx="11">
                  <c:v>5942.8971383568951</c:v>
                </c:pt>
                <c:pt idx="12">
                  <c:v>6008.8902647794439</c:v>
                </c:pt>
                <c:pt idx="13">
                  <c:v>6078.4612680038417</c:v>
                </c:pt>
                <c:pt idx="14">
                  <c:v>6137.6428117689538</c:v>
                </c:pt>
                <c:pt idx="15">
                  <c:v>6194.2241058752543</c:v>
                </c:pt>
                <c:pt idx="16">
                  <c:v>6309.5666703133593</c:v>
                </c:pt>
                <c:pt idx="17">
                  <c:v>6372.4236628814879</c:v>
                </c:pt>
                <c:pt idx="18">
                  <c:v>6482.7962221587268</c:v>
                </c:pt>
                <c:pt idx="19">
                  <c:v>6560.0522322889947</c:v>
                </c:pt>
                <c:pt idx="20">
                  <c:v>6658.3053185232066</c:v>
                </c:pt>
                <c:pt idx="21">
                  <c:v>6728.9856364007792</c:v>
                </c:pt>
                <c:pt idx="22">
                  <c:v>6768.0909872390548</c:v>
                </c:pt>
                <c:pt idx="23">
                  <c:v>6892.7978900061999</c:v>
                </c:pt>
                <c:pt idx="24">
                  <c:v>7064.6594441724274</c:v>
                </c:pt>
                <c:pt idx="25">
                  <c:v>7183.65830156843</c:v>
                </c:pt>
                <c:pt idx="26">
                  <c:v>7325.8260789169399</c:v>
                </c:pt>
                <c:pt idx="27">
                  <c:v>7388.6245470730037</c:v>
                </c:pt>
                <c:pt idx="28">
                  <c:v>7430.5649109548503</c:v>
                </c:pt>
                <c:pt idx="29">
                  <c:v>7477.7473876329632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2CC-417F-83B2-67A6A380E659}"/>
            </c:ext>
          </c:extLst>
        </c:ser>
        <c:ser>
          <c:idx val="2"/>
          <c:order val="1"/>
          <c:tx>
            <c:strRef>
              <c:f>Overview!$B$29</c:f>
              <c:strCache>
                <c:ptCount val="1"/>
                <c:pt idx="0">
                  <c:v>Proposed CH4 meth.</c:v>
                </c:pt>
              </c:strCache>
            </c:strRef>
          </c:tx>
          <c:spPr>
            <a:ln w="19050" cap="rnd">
              <a:solidFill>
                <a:schemeClr val="accent1">
                  <a:tint val="65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1">
                  <a:shade val="65000"/>
                </a:schemeClr>
              </a:solidFill>
              <a:ln w="9525">
                <a:solidFill>
                  <a:schemeClr val="accent1">
                    <a:shade val="65000"/>
                  </a:schemeClr>
                </a:solidFill>
              </a:ln>
              <a:effectLst/>
            </c:spPr>
          </c:marker>
          <c:xVal>
            <c:numRef>
              <c:f>Overview!$F$17:$AI$17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xVal>
          <c:yVal>
            <c:numRef>
              <c:f>Overview!$F$30:$AI$30</c:f>
              <c:numCache>
                <c:formatCode>_ * #,##0_ ;_ * \-#,##0_ ;_ * "-"??_ ;_ @_ </c:formatCode>
                <c:ptCount val="30"/>
                <c:pt idx="0">
                  <c:v>4018.5342504741188</c:v>
                </c:pt>
                <c:pt idx="1">
                  <c:v>4113.4059546856151</c:v>
                </c:pt>
                <c:pt idx="2">
                  <c:v>4173.8821092230046</c:v>
                </c:pt>
                <c:pt idx="3">
                  <c:v>4224.4956799095671</c:v>
                </c:pt>
                <c:pt idx="4">
                  <c:v>4299.7427088504865</c:v>
                </c:pt>
                <c:pt idx="5">
                  <c:v>4349.8890392154026</c:v>
                </c:pt>
                <c:pt idx="6">
                  <c:v>4387.9730823649761</c:v>
                </c:pt>
                <c:pt idx="7">
                  <c:v>4416.280634394564</c:v>
                </c:pt>
                <c:pt idx="8">
                  <c:v>4451.5069671375122</c:v>
                </c:pt>
                <c:pt idx="9">
                  <c:v>4487.4791469786596</c:v>
                </c:pt>
                <c:pt idx="10">
                  <c:v>4518.5134782015175</c:v>
                </c:pt>
                <c:pt idx="11">
                  <c:v>4580.5071604810109</c:v>
                </c:pt>
                <c:pt idx="12">
                  <c:v>4631.4488938461245</c:v>
                </c:pt>
                <c:pt idx="13">
                  <c:v>4685.1499809873967</c:v>
                </c:pt>
                <c:pt idx="14">
                  <c:v>4730.8446811896429</c:v>
                </c:pt>
                <c:pt idx="15">
                  <c:v>4775.9604825827182</c:v>
                </c:pt>
                <c:pt idx="16">
                  <c:v>4822.6397611440052</c:v>
                </c:pt>
                <c:pt idx="17">
                  <c:v>4866.1997672800935</c:v>
                </c:pt>
                <c:pt idx="18">
                  <c:v>4947.7146218909165</c:v>
                </c:pt>
                <c:pt idx="19">
                  <c:v>5003.9547318370142</c:v>
                </c:pt>
                <c:pt idx="20">
                  <c:v>5074.7000798566687</c:v>
                </c:pt>
                <c:pt idx="21">
                  <c:v>5115.8296516909286</c:v>
                </c:pt>
                <c:pt idx="22">
                  <c:v>5147.0317945283223</c:v>
                </c:pt>
                <c:pt idx="23">
                  <c:v>5253.6462468444734</c:v>
                </c:pt>
                <c:pt idx="24">
                  <c:v>5387.4693287857217</c:v>
                </c:pt>
                <c:pt idx="25">
                  <c:v>5492.4585657539919</c:v>
                </c:pt>
                <c:pt idx="26">
                  <c:v>5608.1325919209212</c:v>
                </c:pt>
                <c:pt idx="27">
                  <c:v>5704.705729717095</c:v>
                </c:pt>
                <c:pt idx="28">
                  <c:v>5779.4725648747208</c:v>
                </c:pt>
                <c:pt idx="29">
                  <c:v>5844.2330383856734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48-489E-AF9A-5DB27FC39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846784"/>
        <c:axId val="139849088"/>
      </c:scatterChart>
      <c:valAx>
        <c:axId val="139846784"/>
        <c:scaling>
          <c:orientation val="minMax"/>
          <c:max val="2020"/>
          <c:min val="199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CH"/>
                  <a:t>year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9849088"/>
        <c:crosses val="autoZero"/>
        <c:crossBetween val="midCat"/>
      </c:valAx>
      <c:valAx>
        <c:axId val="139849088"/>
        <c:scaling>
          <c:orientation val="minMax"/>
          <c:max val="1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CH"/>
                  <a:t>emissions from sewage [t CH4/y]</a:t>
                </a:r>
              </a:p>
            </c:rich>
          </c:tx>
          <c:layout>
            <c:manualLayout>
              <c:xMode val="edge"/>
              <c:yMode val="edge"/>
              <c:x val="1.6515417206984045E-2"/>
              <c:y val="0.146696855152829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_ * #,##0_ ;_ * \-#,##0_ ;_ * &quot;-&quot;??_ ;_ @_ " sourceLinked="1"/>
        <c:majorTickMark val="none"/>
        <c:minorTickMark val="none"/>
        <c:tickLblPos val="nextTo"/>
        <c:spPr>
          <a:solidFill>
            <a:sysClr val="window" lastClr="FFFFFF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9846784"/>
        <c:crosses val="autoZero"/>
        <c:crossBetween val="midCat"/>
        <c:majorUnit val="2000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CH" sz="1400" b="0"/>
              <a:t>Proposed meth.: GHG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strRef>
              <c:f>Overview!$B$55</c:f>
              <c:strCache>
                <c:ptCount val="1"/>
                <c:pt idx="0">
                  <c:v>N2O emissions in CO2eq</c:v>
                </c:pt>
              </c:strCache>
            </c:strRef>
          </c:tx>
          <c:spPr>
            <a:ln w="19050" cap="rnd" cmpd="sng" algn="ctr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triangle"/>
            <c:size val="5"/>
            <c:spPr>
              <a:solidFill>
                <a:schemeClr val="accent4"/>
              </a:solidFill>
              <a:ln w="6350" cap="flat" cmpd="sng" algn="ctr">
                <a:solidFill>
                  <a:schemeClr val="accent4"/>
                </a:solidFill>
                <a:prstDash val="solid"/>
                <a:round/>
              </a:ln>
              <a:effectLst/>
            </c:spPr>
          </c:marker>
          <c:xVal>
            <c:numRef>
              <c:f>Overview!$F$17:$AF$17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Overview!$F$56:$AI$56</c:f>
              <c:numCache>
                <c:formatCode>0.00E+00</c:formatCode>
                <c:ptCount val="30"/>
                <c:pt idx="0" formatCode="_ * #,##0_ ;_ * \-#,##0_ ;_ * &quot;-&quot;??_ ;_ @_ ">
                  <c:v>1119583.1398707882</c:v>
                </c:pt>
                <c:pt idx="1">
                  <c:v>1109309.752539756</c:v>
                </c:pt>
                <c:pt idx="2">
                  <c:v>1088823.2524983464</c:v>
                </c:pt>
                <c:pt idx="3">
                  <c:v>1065239.8470871809</c:v>
                </c:pt>
                <c:pt idx="4">
                  <c:v>1047235.3555085165</c:v>
                </c:pt>
                <c:pt idx="5">
                  <c:v>1024694.5635792955</c:v>
                </c:pt>
                <c:pt idx="6">
                  <c:v>994667.18317689782</c:v>
                </c:pt>
                <c:pt idx="7">
                  <c:v>967139.6468618724</c:v>
                </c:pt>
                <c:pt idx="8">
                  <c:v>940430.15248408436</c:v>
                </c:pt>
                <c:pt idx="9">
                  <c:v>912818.50514651986</c:v>
                </c:pt>
                <c:pt idx="10">
                  <c:v>886060.25903527462</c:v>
                </c:pt>
                <c:pt idx="11">
                  <c:v>864172.62640120729</c:v>
                </c:pt>
                <c:pt idx="12">
                  <c:v>839824.2135461187</c:v>
                </c:pt>
                <c:pt idx="13">
                  <c:v>815678.29669374868</c:v>
                </c:pt>
                <c:pt idx="14">
                  <c:v>789893.62096242013</c:v>
                </c:pt>
                <c:pt idx="15">
                  <c:v>762974.76680132083</c:v>
                </c:pt>
                <c:pt idx="16">
                  <c:v>736213.93229666213</c:v>
                </c:pt>
                <c:pt idx="17">
                  <c:v>709751.47730518889</c:v>
                </c:pt>
                <c:pt idx="18">
                  <c:v>685949.7466825709</c:v>
                </c:pt>
                <c:pt idx="19">
                  <c:v>661636.15022211592</c:v>
                </c:pt>
                <c:pt idx="20">
                  <c:v>635310.38671308034</c:v>
                </c:pt>
                <c:pt idx="21">
                  <c:v>626830.23448881821</c:v>
                </c:pt>
                <c:pt idx="22">
                  <c:v>620521.0564994876</c:v>
                </c:pt>
                <c:pt idx="23">
                  <c:v>614602.79239703051</c:v>
                </c:pt>
                <c:pt idx="24">
                  <c:v>609120.58321622608</c:v>
                </c:pt>
                <c:pt idx="25">
                  <c:v>602949.1190516816</c:v>
                </c:pt>
                <c:pt idx="26">
                  <c:v>596482.48899598815</c:v>
                </c:pt>
                <c:pt idx="27">
                  <c:v>589037.75821802649</c:v>
                </c:pt>
                <c:pt idx="28">
                  <c:v>580333.79369717499</c:v>
                </c:pt>
                <c:pt idx="29">
                  <c:v>571518.14318847342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4DF-4CD3-8AFF-40D62EC715B9}"/>
            </c:ext>
          </c:extLst>
        </c:ser>
        <c:ser>
          <c:idx val="1"/>
          <c:order val="1"/>
          <c:tx>
            <c:strRef>
              <c:f>Overview!$B$53</c:f>
              <c:strCache>
                <c:ptCount val="1"/>
                <c:pt idx="0">
                  <c:v>CH4 emissions in CO2eq</c:v>
                </c:pt>
              </c:strCache>
            </c:strRef>
          </c:tx>
          <c:spPr>
            <a:ln w="19050" cap="rnd" cmpd="sng" algn="ctr">
              <a:solidFill>
                <a:schemeClr val="accent4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6350" cap="flat" cmpd="sng" algn="ctr">
                <a:solidFill>
                  <a:schemeClr val="accent4">
                    <a:lumMod val="75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Overview!$F$17:$AF$17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Overview!$F$54:$AI$54</c:f>
              <c:numCache>
                <c:formatCode>0.00E+00</c:formatCode>
                <c:ptCount val="30"/>
                <c:pt idx="0">
                  <c:v>108500.42476280121</c:v>
                </c:pt>
                <c:pt idx="1">
                  <c:v>111061.96077651161</c:v>
                </c:pt>
                <c:pt idx="2">
                  <c:v>112694.81694902113</c:v>
                </c:pt>
                <c:pt idx="3">
                  <c:v>114061.38335755831</c:v>
                </c:pt>
                <c:pt idx="4">
                  <c:v>116093.05313896314</c:v>
                </c:pt>
                <c:pt idx="5">
                  <c:v>117447.00405881587</c:v>
                </c:pt>
                <c:pt idx="6">
                  <c:v>118475.27322385435</c:v>
                </c:pt>
                <c:pt idx="7">
                  <c:v>119239.57712865323</c:v>
                </c:pt>
                <c:pt idx="8">
                  <c:v>120190.68811271283</c:v>
                </c:pt>
                <c:pt idx="9">
                  <c:v>121161.9369684238</c:v>
                </c:pt>
                <c:pt idx="10">
                  <c:v>121999.86391144097</c:v>
                </c:pt>
                <c:pt idx="11">
                  <c:v>123673.6933329873</c:v>
                </c:pt>
                <c:pt idx="12">
                  <c:v>125049.12013384537</c:v>
                </c:pt>
                <c:pt idx="13">
                  <c:v>126499.04948665971</c:v>
                </c:pt>
                <c:pt idx="14">
                  <c:v>127732.80639212036</c:v>
                </c:pt>
                <c:pt idx="15">
                  <c:v>128950.93302973339</c:v>
                </c:pt>
                <c:pt idx="16">
                  <c:v>130211.27355088815</c:v>
                </c:pt>
                <c:pt idx="17">
                  <c:v>131387.39371656254</c:v>
                </c:pt>
                <c:pt idx="18">
                  <c:v>133588.29479105474</c:v>
                </c:pt>
                <c:pt idx="19">
                  <c:v>135106.77775959938</c:v>
                </c:pt>
                <c:pt idx="20">
                  <c:v>137016.90215613006</c:v>
                </c:pt>
                <c:pt idx="21">
                  <c:v>138127.40059565508</c:v>
                </c:pt>
                <c:pt idx="22">
                  <c:v>138969.85845226471</c:v>
                </c:pt>
                <c:pt idx="23">
                  <c:v>141848.44866480079</c:v>
                </c:pt>
                <c:pt idx="24">
                  <c:v>145461.67187721448</c:v>
                </c:pt>
                <c:pt idx="25">
                  <c:v>148296.38127535779</c:v>
                </c:pt>
                <c:pt idx="26">
                  <c:v>151419.57998186487</c:v>
                </c:pt>
                <c:pt idx="27">
                  <c:v>154027.05470236155</c:v>
                </c:pt>
                <c:pt idx="28">
                  <c:v>156045.75925161745</c:v>
                </c:pt>
                <c:pt idx="29">
                  <c:v>157794.29203641319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4DF-4CD3-8AFF-40D62EC715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574656"/>
        <c:axId val="139794304"/>
      </c:scatterChart>
      <c:valAx>
        <c:axId val="139574656"/>
        <c:scaling>
          <c:orientation val="minMax"/>
          <c:max val="2020"/>
          <c:min val="199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CH"/>
                  <a:t>year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9794304"/>
        <c:crosses val="autoZero"/>
        <c:crossBetween val="midCat"/>
      </c:valAx>
      <c:valAx>
        <c:axId val="13979430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CH" b="1"/>
                  <a:t>emissions from wastewater </a:t>
                </a:r>
              </a:p>
              <a:p>
                <a:pPr>
                  <a:defRPr/>
                </a:pPr>
                <a:r>
                  <a:rPr lang="de-CH" b="1"/>
                  <a:t>[CO2eq</a:t>
                </a:r>
                <a:r>
                  <a:rPr lang="de-CH" b="1" baseline="0"/>
                  <a:t> </a:t>
                </a:r>
                <a:r>
                  <a:rPr lang="de-CH" b="1"/>
                  <a:t>t /y]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_ * #,##0_ ;_ * \-#,##0_ ;_ * &quot;-&quot;??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9574656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8915116185914"/>
          <c:y val="0.20712631772080464"/>
          <c:w val="0.1900779423817982"/>
          <c:h val="0.605902676975410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Overview!$C$82</c:f>
              <c:strCache>
                <c:ptCount val="1"/>
                <c:pt idx="0">
                  <c:v>WWTP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Overview!$E$81:$G$81</c:f>
              <c:strCache>
                <c:ptCount val="3"/>
                <c:pt idx="0">
                  <c:v>2006 IPCC GL</c:v>
                </c:pt>
                <c:pt idx="1">
                  <c:v>2019 IPCC GL</c:v>
                </c:pt>
                <c:pt idx="2">
                  <c:v>proposed method</c:v>
                </c:pt>
              </c:strCache>
            </c:strRef>
          </c:cat>
          <c:val>
            <c:numRef>
              <c:f>Overview!$E$82:$G$82</c:f>
              <c:numCache>
                <c:formatCode>0</c:formatCode>
                <c:ptCount val="3"/>
                <c:pt idx="0">
                  <c:v>26.837184000000001</c:v>
                </c:pt>
                <c:pt idx="1">
                  <c:v>1360.3287405714289</c:v>
                </c:pt>
                <c:pt idx="2">
                  <c:v>1754.5817244081632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87-42F7-989D-077F4650C714}"/>
            </c:ext>
          </c:extLst>
        </c:ser>
        <c:ser>
          <c:idx val="1"/>
          <c:order val="1"/>
          <c:tx>
            <c:strRef>
              <c:f>Overview!$C$83</c:f>
              <c:strCache>
                <c:ptCount val="1"/>
              </c:strCache>
            </c:strRef>
          </c:tx>
          <c:spPr>
            <a:pattFill prst="wdUpDiag">
              <a:fgClr>
                <a:schemeClr val="accent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Overview!$E$81:$G$81</c:f>
              <c:strCache>
                <c:ptCount val="3"/>
                <c:pt idx="0">
                  <c:v>2006 IPCC GL</c:v>
                </c:pt>
                <c:pt idx="1">
                  <c:v>2019 IPCC GL</c:v>
                </c:pt>
                <c:pt idx="2">
                  <c:v>proposed method</c:v>
                </c:pt>
              </c:strCache>
            </c:strRef>
          </c:cat>
          <c:val>
            <c:numRef>
              <c:f>Overview!$E$83:$G$83</c:f>
              <c:numCache>
                <c:formatCode>0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B387-42F7-989D-077F4650C714}"/>
            </c:ext>
          </c:extLst>
        </c:ser>
        <c:ser>
          <c:idx val="2"/>
          <c:order val="2"/>
          <c:tx>
            <c:strRef>
              <c:f>Overview!$C$84</c:f>
              <c:strCache>
                <c:ptCount val="1"/>
                <c:pt idx="0">
                  <c:v>From effluent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Overview!$E$81:$G$81</c:f>
              <c:strCache>
                <c:ptCount val="3"/>
                <c:pt idx="0">
                  <c:v>2006 IPCC GL</c:v>
                </c:pt>
                <c:pt idx="1">
                  <c:v>2019 IPCC GL</c:v>
                </c:pt>
                <c:pt idx="2">
                  <c:v>proposed method</c:v>
                </c:pt>
              </c:strCache>
            </c:strRef>
          </c:cat>
          <c:val>
            <c:numRef>
              <c:f>Overview!$E$84:$G$84</c:f>
              <c:numCache>
                <c:formatCode>0</c:formatCode>
                <c:ptCount val="3"/>
                <c:pt idx="0">
                  <c:v>200.16680896000003</c:v>
                </c:pt>
                <c:pt idx="1">
                  <c:v>127.8693965826514</c:v>
                </c:pt>
                <c:pt idx="2">
                  <c:v>156.15410920515103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B5-4752-AD7F-485EE65C7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06080024"/>
        <c:axId val="506081664"/>
      </c:barChart>
      <c:catAx>
        <c:axId val="506080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06081664"/>
        <c:crosses val="autoZero"/>
        <c:auto val="1"/>
        <c:lblAlgn val="ctr"/>
        <c:lblOffset val="100"/>
        <c:noMultiLvlLbl val="0"/>
      </c:catAx>
      <c:valAx>
        <c:axId val="506081664"/>
        <c:scaling>
          <c:orientation val="minMax"/>
          <c:max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CH"/>
                  <a:t>Nitrous oxide emissions [t N</a:t>
                </a:r>
                <a:r>
                  <a:rPr lang="de-CH" baseline="-25000"/>
                  <a:t>2</a:t>
                </a:r>
                <a:r>
                  <a:rPr lang="de-CH"/>
                  <a:t>O/y]</a:t>
                </a:r>
              </a:p>
            </c:rich>
          </c:tx>
          <c:layout>
            <c:manualLayout>
              <c:xMode val="edge"/>
              <c:yMode val="edge"/>
              <c:x val="3.0630631420757001E-2"/>
              <c:y val="1.978904956524759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06080024"/>
        <c:crosses val="autoZero"/>
        <c:crossBetween val="between"/>
        <c:majorUnit val="250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38180566804815119"/>
          <c:y val="0.88426632395904492"/>
          <c:w val="0.39232642386391492"/>
          <c:h val="8.6325657145724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Overview!$J$82</c:f>
              <c:strCache>
                <c:ptCount val="1"/>
                <c:pt idx="0">
                  <c:v>Sewer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Overview!$M$81:$N$81</c:f>
              <c:strCache>
                <c:ptCount val="2"/>
                <c:pt idx="0">
                  <c:v>2006 IPCC GL</c:v>
                </c:pt>
                <c:pt idx="1">
                  <c:v>proposed method</c:v>
                </c:pt>
              </c:strCache>
            </c:strRef>
          </c:cat>
          <c:val>
            <c:numRef>
              <c:f>Overview!$M$82:$N$82</c:f>
              <c:numCache>
                <c:formatCode>_ * #,##0_ ;_ * \-#,##0_ ;_ * "-"??_ ;_ @_ </c:formatCode>
                <c:ptCount val="2"/>
                <c:pt idx="1">
                  <c:v>1184.0317124999999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B5-462F-8DEA-6559348A22F0}"/>
            </c:ext>
          </c:extLst>
        </c:ser>
        <c:ser>
          <c:idx val="0"/>
          <c:order val="1"/>
          <c:tx>
            <c:v>WWTP</c:v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Overview!$M$83:$N$83</c:f>
              <c:numCache>
                <c:formatCode>0</c:formatCode>
                <c:ptCount val="2"/>
                <c:pt idx="0" formatCode="_ * #,##0_ ;_ * \-#,##0_ ;_ * &quot;-&quot;??_ ;_ @_ ">
                  <c:v>6852.0788437499996</c:v>
                </c:pt>
                <c:pt idx="1">
                  <c:v>4280.7300375000004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8B-466B-A0A9-281C22CF0AD7}"/>
            </c:ext>
          </c:extLst>
        </c:ser>
        <c:ser>
          <c:idx val="1"/>
          <c:order val="2"/>
          <c:tx>
            <c:strRef>
              <c:f>Overview!$J$84</c:f>
              <c:strCache>
                <c:ptCount val="1"/>
                <c:pt idx="0">
                  <c:v>Gas usage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Overview!$M$81:$N$81</c:f>
              <c:strCache>
                <c:ptCount val="2"/>
                <c:pt idx="0">
                  <c:v>2006 IPCC GL</c:v>
                </c:pt>
                <c:pt idx="1">
                  <c:v>proposed method</c:v>
                </c:pt>
              </c:strCache>
            </c:strRef>
          </c:cat>
          <c:val>
            <c:numRef>
              <c:f>Overview!$M$84:$N$84</c:f>
              <c:numCache>
                <c:formatCode>_ * #,##0_ ;_ * \-#,##0_ ;_ * "-"??_ ;_ @_ </c:formatCode>
                <c:ptCount val="2"/>
                <c:pt idx="0">
                  <c:v>191.63710446274405</c:v>
                </c:pt>
                <c:pt idx="1">
                  <c:v>379.47128838567346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77-4F3D-BD93-CE1B3CE23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06080024"/>
        <c:axId val="506081664"/>
      </c:barChart>
      <c:catAx>
        <c:axId val="506080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06081664"/>
        <c:crosses val="autoZero"/>
        <c:auto val="1"/>
        <c:lblAlgn val="ctr"/>
        <c:lblOffset val="100"/>
        <c:noMultiLvlLbl val="0"/>
      </c:catAx>
      <c:valAx>
        <c:axId val="506081664"/>
        <c:scaling>
          <c:orientation val="minMax"/>
          <c:max val="1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CH"/>
                  <a:t>Methane emissions [kg CH4/y]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06080024"/>
        <c:crosses val="autoZero"/>
        <c:crossBetween val="between"/>
        <c:majorUnit val="2000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32374324270565824"/>
          <c:y val="0.8921746254373798"/>
          <c:w val="0.48991853675570307"/>
          <c:h val="8.6520928858051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CH"/>
              <a:t>2006 IPCC guideline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'N2O 2006 IPCC GL'!$B$59</c:f>
              <c:strCache>
                <c:ptCount val="1"/>
                <c:pt idx="0">
                  <c:v>total emissions N2O</c:v>
                </c:pt>
              </c:strCache>
            </c:strRef>
          </c:tx>
          <c:spPr>
            <a:ln w="19050" cap="rnd">
              <a:solidFill>
                <a:schemeClr val="accent1">
                  <a:shade val="6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>
                  <a:shade val="65000"/>
                </a:schemeClr>
              </a:solidFill>
              <a:ln w="9525">
                <a:solidFill>
                  <a:schemeClr val="accent1">
                    <a:shade val="65000"/>
                  </a:schemeClr>
                </a:solidFill>
              </a:ln>
              <a:effectLst/>
            </c:spPr>
          </c:marker>
          <c:xVal>
            <c:numRef>
              <c:f>'N2O 2006 IPCC GL'!$C$2:$AC$2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'N2O 2006 IPCC GL'!$C$60:$AC$60</c:f>
              <c:numCache>
                <c:formatCode>_ * #,##0_ ;_ * \-#,##0_ ;_ * "-"??_ ;_ @_ </c:formatCode>
                <c:ptCount val="27"/>
                <c:pt idx="0">
                  <c:v>270972.3947428572</c:v>
                </c:pt>
                <c:pt idx="1">
                  <c:v>277872.38148571429</c:v>
                </c:pt>
                <c:pt idx="2">
                  <c:v>281941.8879085714</c:v>
                </c:pt>
                <c:pt idx="3">
                  <c:v>277532.74363428575</c:v>
                </c:pt>
                <c:pt idx="4">
                  <c:v>281577.94429714285</c:v>
                </c:pt>
                <c:pt idx="5">
                  <c:v>280281.68595428573</c:v>
                </c:pt>
                <c:pt idx="6">
                  <c:v>278929.3579428572</c:v>
                </c:pt>
                <c:pt idx="7">
                  <c:v>280278.89772571431</c:v>
                </c:pt>
                <c:pt idx="8">
                  <c:v>281664.35360000003</c:v>
                </c:pt>
                <c:pt idx="9">
                  <c:v>278929.87221257144</c:v>
                </c:pt>
                <c:pt idx="10">
                  <c:v>288411.9613097143</c:v>
                </c:pt>
                <c:pt idx="11">
                  <c:v>284294.7217942857</c:v>
                </c:pt>
                <c:pt idx="12">
                  <c:v>285623.91466285713</c:v>
                </c:pt>
                <c:pt idx="13">
                  <c:v>294133.53033142863</c:v>
                </c:pt>
                <c:pt idx="14">
                  <c:v>298479.6600617143</c:v>
                </c:pt>
                <c:pt idx="15">
                  <c:v>295418.1078262857</c:v>
                </c:pt>
                <c:pt idx="16">
                  <c:v>303557.67469714285</c:v>
                </c:pt>
                <c:pt idx="17">
                  <c:v>307527.55769142858</c:v>
                </c:pt>
                <c:pt idx="18">
                  <c:v>317868.84070857143</c:v>
                </c:pt>
                <c:pt idx="19">
                  <c:v>320661.08962285717</c:v>
                </c:pt>
                <c:pt idx="20">
                  <c:v>328441.75972571422</c:v>
                </c:pt>
                <c:pt idx="21">
                  <c:v>337346.7680457143</c:v>
                </c:pt>
                <c:pt idx="22">
                  <c:v>322523.57456000004</c:v>
                </c:pt>
                <c:pt idx="23">
                  <c:v>330350.57186285709</c:v>
                </c:pt>
                <c:pt idx="24">
                  <c:v>330659.4198628572</c:v>
                </c:pt>
                <c:pt idx="25">
                  <c:v>342260.93421714287</c:v>
                </c:pt>
                <c:pt idx="26">
                  <c:v>334999.12875428575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DDE-456D-A181-5CF8925FBA93}"/>
            </c:ext>
          </c:extLst>
        </c:ser>
        <c:ser>
          <c:idx val="1"/>
          <c:order val="1"/>
          <c:tx>
            <c:strRef>
              <c:f>'N2O 2006 IPCC GL'!$B$53</c:f>
              <c:strCache>
                <c:ptCount val="1"/>
                <c:pt idx="0">
                  <c:v>emissions N2O from WWTP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'N2O 2006 IPCC GL'!$C$2:$AC$2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'N2O 2006 IPCC GL'!$C$54:$AC$54</c:f>
              <c:numCache>
                <c:formatCode>_ * #,##0_ ;_ * \-#,##0_ ;_ * "-"??_ ;_ @_ </c:formatCode>
                <c:ptCount val="27"/>
                <c:pt idx="0">
                  <c:v>19572.48</c:v>
                </c:pt>
                <c:pt idx="1">
                  <c:v>20034.560000000001</c:v>
                </c:pt>
                <c:pt idx="2">
                  <c:v>20329.103999999999</c:v>
                </c:pt>
                <c:pt idx="3">
                  <c:v>20575.616000000002</c:v>
                </c:pt>
                <c:pt idx="4">
                  <c:v>20942.112000000001</c:v>
                </c:pt>
                <c:pt idx="5">
                  <c:v>21186.351999999999</c:v>
                </c:pt>
                <c:pt idx="6">
                  <c:v>21371.84</c:v>
                </c:pt>
                <c:pt idx="7">
                  <c:v>21509.712</c:v>
                </c:pt>
                <c:pt idx="8">
                  <c:v>21681.279999999999</c:v>
                </c:pt>
                <c:pt idx="9">
                  <c:v>21856.483200000002</c:v>
                </c:pt>
                <c:pt idx="10">
                  <c:v>22007.635200000004</c:v>
                </c:pt>
                <c:pt idx="11">
                  <c:v>22309.584000000003</c:v>
                </c:pt>
                <c:pt idx="12">
                  <c:v>22557.696</c:v>
                </c:pt>
                <c:pt idx="13">
                  <c:v>22819.248</c:v>
                </c:pt>
                <c:pt idx="14">
                  <c:v>23041.804800000002</c:v>
                </c:pt>
                <c:pt idx="15">
                  <c:v>23235.097600000001</c:v>
                </c:pt>
                <c:pt idx="16">
                  <c:v>23460.031999999999</c:v>
                </c:pt>
                <c:pt idx="17">
                  <c:v>23649.376</c:v>
                </c:pt>
                <c:pt idx="18">
                  <c:v>23934.944</c:v>
                </c:pt>
                <c:pt idx="19">
                  <c:v>24214.304</c:v>
                </c:pt>
                <c:pt idx="20">
                  <c:v>24453.312000000002</c:v>
                </c:pt>
                <c:pt idx="21">
                  <c:v>24558.848000000002</c:v>
                </c:pt>
                <c:pt idx="22">
                  <c:v>24822.687999999998</c:v>
                </c:pt>
                <c:pt idx="23">
                  <c:v>25108.256000000001</c:v>
                </c:pt>
                <c:pt idx="24">
                  <c:v>25418.655999999999</c:v>
                </c:pt>
                <c:pt idx="25">
                  <c:v>25707.328000000001</c:v>
                </c:pt>
                <c:pt idx="26">
                  <c:v>25989.792000000001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DDE-456D-A181-5CF8925FBA93}"/>
            </c:ext>
          </c:extLst>
        </c:ser>
        <c:ser>
          <c:idx val="2"/>
          <c:order val="2"/>
          <c:tx>
            <c:strRef>
              <c:f>'N2O 2006 IPCC GL'!$B$55</c:f>
              <c:strCache>
                <c:ptCount val="1"/>
                <c:pt idx="0">
                  <c:v>emissions N2O from effluent</c:v>
                </c:pt>
              </c:strCache>
            </c:strRef>
          </c:tx>
          <c:spPr>
            <a:ln w="19050" cap="rnd">
              <a:solidFill>
                <a:schemeClr val="accent1">
                  <a:tint val="65000"/>
                </a:schemeClr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accent1">
                  <a:tint val="65000"/>
                </a:schemeClr>
              </a:solidFill>
              <a:ln w="9525">
                <a:solidFill>
                  <a:schemeClr val="accent1">
                    <a:tint val="65000"/>
                  </a:schemeClr>
                </a:solidFill>
              </a:ln>
              <a:effectLst/>
            </c:spPr>
          </c:marker>
          <c:xVal>
            <c:numRef>
              <c:f>'N2O 2006 IPCC GL'!$C$2:$AC$2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'N2O 2006 IPCC GL'!$C$57:$AC$57</c:f>
              <c:numCache>
                <c:formatCode>_ * #,##0_ ;_ * \-#,##0_ ;_ * "-"??_ ;_ @_ </c:formatCode>
                <c:ptCount val="27"/>
                <c:pt idx="0">
                  <c:v>251399.91474285719</c:v>
                </c:pt>
                <c:pt idx="1">
                  <c:v>257837.82148571429</c:v>
                </c:pt>
                <c:pt idx="2">
                  <c:v>261612.78390857141</c:v>
                </c:pt>
                <c:pt idx="3">
                  <c:v>256957.12763428575</c:v>
                </c:pt>
                <c:pt idx="4">
                  <c:v>260635.83229714286</c:v>
                </c:pt>
                <c:pt idx="5">
                  <c:v>259095.33395428571</c:v>
                </c:pt>
                <c:pt idx="6">
                  <c:v>257557.51794285717</c:v>
                </c:pt>
                <c:pt idx="7">
                  <c:v>258769.18572571431</c:v>
                </c:pt>
                <c:pt idx="8">
                  <c:v>259983.0736</c:v>
                </c:pt>
                <c:pt idx="9">
                  <c:v>257073.38901257145</c:v>
                </c:pt>
                <c:pt idx="10">
                  <c:v>266404.32610971428</c:v>
                </c:pt>
                <c:pt idx="11">
                  <c:v>261985.13779428569</c:v>
                </c:pt>
                <c:pt idx="12">
                  <c:v>263066.21866285714</c:v>
                </c:pt>
                <c:pt idx="13">
                  <c:v>271314.28233142861</c:v>
                </c:pt>
                <c:pt idx="14">
                  <c:v>275437.85526171431</c:v>
                </c:pt>
                <c:pt idx="15">
                  <c:v>272183.01022628573</c:v>
                </c:pt>
                <c:pt idx="16">
                  <c:v>280097.64269714284</c:v>
                </c:pt>
                <c:pt idx="17">
                  <c:v>283878.18169142859</c:v>
                </c:pt>
                <c:pt idx="18">
                  <c:v>293933.89670857141</c:v>
                </c:pt>
                <c:pt idx="19">
                  <c:v>296446.78562285716</c:v>
                </c:pt>
                <c:pt idx="20">
                  <c:v>303988.44772571424</c:v>
                </c:pt>
                <c:pt idx="21">
                  <c:v>312787.9200457143</c:v>
                </c:pt>
                <c:pt idx="22">
                  <c:v>297700.88656000001</c:v>
                </c:pt>
                <c:pt idx="23">
                  <c:v>305242.3158628571</c:v>
                </c:pt>
                <c:pt idx="24">
                  <c:v>305240.76386285719</c:v>
                </c:pt>
                <c:pt idx="25">
                  <c:v>316553.60621714289</c:v>
                </c:pt>
                <c:pt idx="26">
                  <c:v>309009.33675428573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DDE-456D-A181-5CF8925FB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112448"/>
        <c:axId val="139114752"/>
      </c:scatterChart>
      <c:valAx>
        <c:axId val="139112448"/>
        <c:scaling>
          <c:orientation val="minMax"/>
          <c:max val="2016"/>
          <c:min val="199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CH"/>
                  <a:t>year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9114752"/>
        <c:crosses val="autoZero"/>
        <c:crossBetween val="midCat"/>
      </c:valAx>
      <c:valAx>
        <c:axId val="139114752"/>
        <c:scaling>
          <c:orientation val="minMax"/>
          <c:max val="6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CH"/>
                  <a:t>emissions [t N2O/y]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_ * #,##0_ ;_ * \-#,##0_ ;_ * &quot;-&quot;??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9112448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CH"/>
              <a:t>2006 IPCC guideline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'N2O 2019 IPCC GL'!$B$66</c:f>
              <c:strCache>
                <c:ptCount val="1"/>
                <c:pt idx="0">
                  <c:v>total emissions N2O</c:v>
                </c:pt>
              </c:strCache>
            </c:strRef>
          </c:tx>
          <c:spPr>
            <a:ln w="19050" cap="rnd">
              <a:solidFill>
                <a:schemeClr val="accent1">
                  <a:shade val="6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>
                  <a:shade val="65000"/>
                </a:schemeClr>
              </a:solidFill>
              <a:ln w="9525">
                <a:solidFill>
                  <a:schemeClr val="accent1">
                    <a:shade val="65000"/>
                  </a:schemeClr>
                </a:solidFill>
              </a:ln>
              <a:effectLst/>
            </c:spPr>
          </c:marker>
          <c:xVal>
            <c:numRef>
              <c:f>'N2O 2019 IPCC GL'!$C$2:$AC$2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'N2O 2006 IPCC GL'!$C$60:$AF$60</c:f>
              <c:numCache>
                <c:formatCode>_ * #,##0_ ;_ * \-#,##0_ ;_ * "-"??_ ;_ @_ </c:formatCode>
                <c:ptCount val="30"/>
                <c:pt idx="0">
                  <c:v>270972.3947428572</c:v>
                </c:pt>
                <c:pt idx="1">
                  <c:v>277872.38148571429</c:v>
                </c:pt>
                <c:pt idx="2">
                  <c:v>281941.8879085714</c:v>
                </c:pt>
                <c:pt idx="3">
                  <c:v>277532.74363428575</c:v>
                </c:pt>
                <c:pt idx="4">
                  <c:v>281577.94429714285</c:v>
                </c:pt>
                <c:pt idx="5">
                  <c:v>280281.68595428573</c:v>
                </c:pt>
                <c:pt idx="6">
                  <c:v>278929.3579428572</c:v>
                </c:pt>
                <c:pt idx="7">
                  <c:v>280278.89772571431</c:v>
                </c:pt>
                <c:pt idx="8">
                  <c:v>281664.35360000003</c:v>
                </c:pt>
                <c:pt idx="9">
                  <c:v>278929.87221257144</c:v>
                </c:pt>
                <c:pt idx="10">
                  <c:v>288411.9613097143</c:v>
                </c:pt>
                <c:pt idx="11">
                  <c:v>284294.7217942857</c:v>
                </c:pt>
                <c:pt idx="12">
                  <c:v>285623.91466285713</c:v>
                </c:pt>
                <c:pt idx="13">
                  <c:v>294133.53033142863</c:v>
                </c:pt>
                <c:pt idx="14">
                  <c:v>298479.6600617143</c:v>
                </c:pt>
                <c:pt idx="15">
                  <c:v>295418.1078262857</c:v>
                </c:pt>
                <c:pt idx="16">
                  <c:v>303557.67469714285</c:v>
                </c:pt>
                <c:pt idx="17">
                  <c:v>307527.55769142858</c:v>
                </c:pt>
                <c:pt idx="18">
                  <c:v>317868.84070857143</c:v>
                </c:pt>
                <c:pt idx="19">
                  <c:v>320661.08962285717</c:v>
                </c:pt>
                <c:pt idx="20">
                  <c:v>328441.75972571422</c:v>
                </c:pt>
                <c:pt idx="21">
                  <c:v>337346.7680457143</c:v>
                </c:pt>
                <c:pt idx="22">
                  <c:v>322523.57456000004</c:v>
                </c:pt>
                <c:pt idx="23">
                  <c:v>330350.57186285709</c:v>
                </c:pt>
                <c:pt idx="24">
                  <c:v>330659.4198628572</c:v>
                </c:pt>
                <c:pt idx="25">
                  <c:v>342260.93421714287</c:v>
                </c:pt>
                <c:pt idx="26">
                  <c:v>334999.12875428575</c:v>
                </c:pt>
                <c:pt idx="27">
                  <c:v>335280.18043428572</c:v>
                </c:pt>
                <c:pt idx="28">
                  <c:v>338355.86068571429</c:v>
                </c:pt>
                <c:pt idx="29">
                  <c:v>341385.0266514286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58-44BD-9D93-511742F88EBE}"/>
            </c:ext>
          </c:extLst>
        </c:ser>
        <c:ser>
          <c:idx val="1"/>
          <c:order val="1"/>
          <c:tx>
            <c:strRef>
              <c:f>'N2O 2019 IPCC GL'!$B$60</c:f>
              <c:strCache>
                <c:ptCount val="1"/>
                <c:pt idx="0">
                  <c:v>emissions N2O from WWTP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'N2O 2019 IPCC GL'!$C$2:$AC$2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'N2O 2006 IPCC GL'!$C$54:$AF$54</c:f>
              <c:numCache>
                <c:formatCode>_ * #,##0_ ;_ * \-#,##0_ ;_ * "-"??_ ;_ @_ </c:formatCode>
                <c:ptCount val="30"/>
                <c:pt idx="0">
                  <c:v>19572.48</c:v>
                </c:pt>
                <c:pt idx="1">
                  <c:v>20034.560000000001</c:v>
                </c:pt>
                <c:pt idx="2">
                  <c:v>20329.103999999999</c:v>
                </c:pt>
                <c:pt idx="3">
                  <c:v>20575.616000000002</c:v>
                </c:pt>
                <c:pt idx="4">
                  <c:v>20942.112000000001</c:v>
                </c:pt>
                <c:pt idx="5">
                  <c:v>21186.351999999999</c:v>
                </c:pt>
                <c:pt idx="6">
                  <c:v>21371.84</c:v>
                </c:pt>
                <c:pt idx="7">
                  <c:v>21509.712</c:v>
                </c:pt>
                <c:pt idx="8">
                  <c:v>21681.279999999999</c:v>
                </c:pt>
                <c:pt idx="9">
                  <c:v>21856.483200000002</c:v>
                </c:pt>
                <c:pt idx="10">
                  <c:v>22007.635200000004</c:v>
                </c:pt>
                <c:pt idx="11">
                  <c:v>22309.584000000003</c:v>
                </c:pt>
                <c:pt idx="12">
                  <c:v>22557.696</c:v>
                </c:pt>
                <c:pt idx="13">
                  <c:v>22819.248</c:v>
                </c:pt>
                <c:pt idx="14">
                  <c:v>23041.804800000002</c:v>
                </c:pt>
                <c:pt idx="15">
                  <c:v>23235.097600000001</c:v>
                </c:pt>
                <c:pt idx="16">
                  <c:v>23460.031999999999</c:v>
                </c:pt>
                <c:pt idx="17">
                  <c:v>23649.376</c:v>
                </c:pt>
                <c:pt idx="18">
                  <c:v>23934.944</c:v>
                </c:pt>
                <c:pt idx="19">
                  <c:v>24214.304</c:v>
                </c:pt>
                <c:pt idx="20">
                  <c:v>24453.312000000002</c:v>
                </c:pt>
                <c:pt idx="21">
                  <c:v>24558.848000000002</c:v>
                </c:pt>
                <c:pt idx="22">
                  <c:v>24822.687999999998</c:v>
                </c:pt>
                <c:pt idx="23">
                  <c:v>25108.256000000001</c:v>
                </c:pt>
                <c:pt idx="24">
                  <c:v>25418.655999999999</c:v>
                </c:pt>
                <c:pt idx="25">
                  <c:v>25707.328000000001</c:v>
                </c:pt>
                <c:pt idx="26">
                  <c:v>25989.792000000001</c:v>
                </c:pt>
                <c:pt idx="27">
                  <c:v>26272.256000000001</c:v>
                </c:pt>
                <c:pt idx="28">
                  <c:v>26554.720000000001</c:v>
                </c:pt>
                <c:pt idx="29">
                  <c:v>26837.184000000001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958-44BD-9D93-511742F88EBE}"/>
            </c:ext>
          </c:extLst>
        </c:ser>
        <c:ser>
          <c:idx val="2"/>
          <c:order val="2"/>
          <c:tx>
            <c:strRef>
              <c:f>'N2O 2019 IPCC GL'!$B$62</c:f>
              <c:strCache>
                <c:ptCount val="1"/>
                <c:pt idx="0">
                  <c:v>emissions N2O from effluent</c:v>
                </c:pt>
              </c:strCache>
            </c:strRef>
          </c:tx>
          <c:spPr>
            <a:ln w="19050" cap="rnd">
              <a:solidFill>
                <a:schemeClr val="accent1">
                  <a:tint val="65000"/>
                </a:schemeClr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accent1">
                  <a:tint val="65000"/>
                </a:schemeClr>
              </a:solidFill>
              <a:ln w="9525">
                <a:solidFill>
                  <a:schemeClr val="accent1">
                    <a:tint val="65000"/>
                  </a:schemeClr>
                </a:solidFill>
              </a:ln>
              <a:effectLst/>
            </c:spPr>
          </c:marker>
          <c:xVal>
            <c:numRef>
              <c:f>'N2O 2019 IPCC GL'!$C$2:$AC$2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'N2O 2006 IPCC GL'!$C$57:$AF$57</c:f>
              <c:numCache>
                <c:formatCode>_ * #,##0_ ;_ * \-#,##0_ ;_ * "-"??_ ;_ @_ </c:formatCode>
                <c:ptCount val="30"/>
                <c:pt idx="0">
                  <c:v>251399.91474285719</c:v>
                </c:pt>
                <c:pt idx="1">
                  <c:v>257837.82148571429</c:v>
                </c:pt>
                <c:pt idx="2">
                  <c:v>261612.78390857141</c:v>
                </c:pt>
                <c:pt idx="3">
                  <c:v>256957.12763428575</c:v>
                </c:pt>
                <c:pt idx="4">
                  <c:v>260635.83229714286</c:v>
                </c:pt>
                <c:pt idx="5">
                  <c:v>259095.33395428571</c:v>
                </c:pt>
                <c:pt idx="6">
                  <c:v>257557.51794285717</c:v>
                </c:pt>
                <c:pt idx="7">
                  <c:v>258769.18572571431</c:v>
                </c:pt>
                <c:pt idx="8">
                  <c:v>259983.0736</c:v>
                </c:pt>
                <c:pt idx="9">
                  <c:v>257073.38901257145</c:v>
                </c:pt>
                <c:pt idx="10">
                  <c:v>266404.32610971428</c:v>
                </c:pt>
                <c:pt idx="11">
                  <c:v>261985.13779428569</c:v>
                </c:pt>
                <c:pt idx="12">
                  <c:v>263066.21866285714</c:v>
                </c:pt>
                <c:pt idx="13">
                  <c:v>271314.28233142861</c:v>
                </c:pt>
                <c:pt idx="14">
                  <c:v>275437.85526171431</c:v>
                </c:pt>
                <c:pt idx="15">
                  <c:v>272183.01022628573</c:v>
                </c:pt>
                <c:pt idx="16">
                  <c:v>280097.64269714284</c:v>
                </c:pt>
                <c:pt idx="17">
                  <c:v>283878.18169142859</c:v>
                </c:pt>
                <c:pt idx="18">
                  <c:v>293933.89670857141</c:v>
                </c:pt>
                <c:pt idx="19">
                  <c:v>296446.78562285716</c:v>
                </c:pt>
                <c:pt idx="20">
                  <c:v>303988.44772571424</c:v>
                </c:pt>
                <c:pt idx="21">
                  <c:v>312787.9200457143</c:v>
                </c:pt>
                <c:pt idx="22">
                  <c:v>297700.88656000001</c:v>
                </c:pt>
                <c:pt idx="23">
                  <c:v>305242.3158628571</c:v>
                </c:pt>
                <c:pt idx="24">
                  <c:v>305240.76386285719</c:v>
                </c:pt>
                <c:pt idx="25">
                  <c:v>316553.60621714289</c:v>
                </c:pt>
                <c:pt idx="26">
                  <c:v>309009.33675428573</c:v>
                </c:pt>
                <c:pt idx="27">
                  <c:v>309007.92443428573</c:v>
                </c:pt>
                <c:pt idx="28">
                  <c:v>311801.14068571426</c:v>
                </c:pt>
                <c:pt idx="29">
                  <c:v>314547.8426514286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958-44BD-9D93-511742F88E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112448"/>
        <c:axId val="139114752"/>
      </c:scatterChart>
      <c:valAx>
        <c:axId val="139112448"/>
        <c:scaling>
          <c:orientation val="minMax"/>
          <c:max val="2016"/>
          <c:min val="199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CH"/>
                  <a:t>year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9114752"/>
        <c:crosses val="autoZero"/>
        <c:crossBetween val="midCat"/>
      </c:valAx>
      <c:valAx>
        <c:axId val="139114752"/>
        <c:scaling>
          <c:orientation val="minMax"/>
          <c:max val="6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CH"/>
                  <a:t>emissions [t N2O/y]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_ * #,##0_ ;_ * \-#,##0_ ;_ * &quot;-&quot;??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9112448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CH"/>
              <a:t>2019 IPCC guideline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'N2O 2019 IPCC GL'!$B$66</c:f>
              <c:strCache>
                <c:ptCount val="1"/>
                <c:pt idx="0">
                  <c:v>total emissions N2O</c:v>
                </c:pt>
              </c:strCache>
            </c:strRef>
          </c:tx>
          <c:spPr>
            <a:ln w="19050" cap="rnd">
              <a:solidFill>
                <a:schemeClr val="accent1">
                  <a:shade val="6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>
                  <a:shade val="65000"/>
                </a:schemeClr>
              </a:solidFill>
              <a:ln w="9525">
                <a:solidFill>
                  <a:schemeClr val="accent1">
                    <a:shade val="65000"/>
                  </a:schemeClr>
                </a:solidFill>
              </a:ln>
              <a:effectLst/>
            </c:spPr>
          </c:marker>
          <c:xVal>
            <c:numRef>
              <c:f>'N2O 2019 IPCC GL'!$C$2:$AC$2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'N2O 2019 IPCC GL'!$C$67:$AC$67</c:f>
              <c:numCache>
                <c:formatCode>_ * #,##0_ ;_ * \-#,##0_ ;_ * "-"??_ ;_ @_ </c:formatCode>
                <c:ptCount val="27"/>
                <c:pt idx="0">
                  <c:v>1392668.1316994303</c:v>
                </c:pt>
                <c:pt idx="1">
                  <c:v>1406606.7113094879</c:v>
                </c:pt>
                <c:pt idx="2">
                  <c:v>1408053.7013060602</c:v>
                </c:pt>
                <c:pt idx="3">
                  <c:v>1372868.3447235427</c:v>
                </c:pt>
                <c:pt idx="4">
                  <c:v>1374121.8422825148</c:v>
                </c:pt>
                <c:pt idx="5">
                  <c:v>1356247.8808937154</c:v>
                </c:pt>
                <c:pt idx="6">
                  <c:v>1338478.0818665158</c:v>
                </c:pt>
                <c:pt idx="7">
                  <c:v>1341738.830768412</c:v>
                </c:pt>
                <c:pt idx="8">
                  <c:v>1342694.9778844805</c:v>
                </c:pt>
                <c:pt idx="9">
                  <c:v>1326071.5957530178</c:v>
                </c:pt>
                <c:pt idx="10">
                  <c:v>1357385.1264914293</c:v>
                </c:pt>
                <c:pt idx="11">
                  <c:v>1330385.1050806181</c:v>
                </c:pt>
                <c:pt idx="12">
                  <c:v>1326695.733669807</c:v>
                </c:pt>
                <c:pt idx="13">
                  <c:v>1356530.9764356131</c:v>
                </c:pt>
                <c:pt idx="14">
                  <c:v>1368884.5637385601</c:v>
                </c:pt>
                <c:pt idx="15">
                  <c:v>1356330.128223086</c:v>
                </c:pt>
                <c:pt idx="16">
                  <c:v>1389651.8325546063</c:v>
                </c:pt>
                <c:pt idx="17">
                  <c:v>1400229.0366742862</c:v>
                </c:pt>
                <c:pt idx="18">
                  <c:v>1436572.4901942862</c:v>
                </c:pt>
                <c:pt idx="19">
                  <c:v>1441634.9656342864</c:v>
                </c:pt>
                <c:pt idx="20">
                  <c:v>1467213.504114287</c:v>
                </c:pt>
                <c:pt idx="21">
                  <c:v>1497290.4008228569</c:v>
                </c:pt>
                <c:pt idx="22">
                  <c:v>1433807.7494399997</c:v>
                </c:pt>
                <c:pt idx="23">
                  <c:v>1462543.4434285711</c:v>
                </c:pt>
                <c:pt idx="24">
                  <c:v>1460552.9588571428</c:v>
                </c:pt>
                <c:pt idx="25">
                  <c:v>1504472.5985142854</c:v>
                </c:pt>
                <c:pt idx="26">
                  <c:v>1471855.4596114284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DA-4291-B929-91863902AAA5}"/>
            </c:ext>
          </c:extLst>
        </c:ser>
        <c:ser>
          <c:idx val="1"/>
          <c:order val="1"/>
          <c:tx>
            <c:strRef>
              <c:f>'N2O 2019 IPCC GL'!$B$60</c:f>
              <c:strCache>
                <c:ptCount val="1"/>
                <c:pt idx="0">
                  <c:v>emissions N2O from WWTP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'N2O 2019 IPCC GL'!$C$2:$AC$2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'N2O 2019 IPCC GL'!$C$61:$AC$61</c:f>
              <c:numCache>
                <c:formatCode>_ * #,##0_ ;_ * \-#,##0_ ;_ * "-"??_ ;_ @_ </c:formatCode>
                <c:ptCount val="27"/>
                <c:pt idx="0">
                  <c:v>1147045.7051428573</c:v>
                </c:pt>
                <c:pt idx="1">
                  <c:v>1166405.7051428573</c:v>
                </c:pt>
                <c:pt idx="2">
                  <c:v>1176083.4925714289</c:v>
                </c:pt>
                <c:pt idx="3">
                  <c:v>1156727.9177142859</c:v>
                </c:pt>
                <c:pt idx="4">
                  <c:v>1166405.7051428573</c:v>
                </c:pt>
                <c:pt idx="5">
                  <c:v>1161564.5988571432</c:v>
                </c:pt>
                <c:pt idx="6">
                  <c:v>1156727.9177142859</c:v>
                </c:pt>
                <c:pt idx="7">
                  <c:v>1161564.5988571432</c:v>
                </c:pt>
                <c:pt idx="8">
                  <c:v>1166405.7051428573</c:v>
                </c:pt>
                <c:pt idx="9">
                  <c:v>1156727.9177142859</c:v>
                </c:pt>
                <c:pt idx="10">
                  <c:v>1185765.7051428573</c:v>
                </c:pt>
                <c:pt idx="11">
                  <c:v>1166405.7051428573</c:v>
                </c:pt>
                <c:pt idx="12">
                  <c:v>1166405.7051428573</c:v>
                </c:pt>
                <c:pt idx="13">
                  <c:v>1195443.4925714289</c:v>
                </c:pt>
                <c:pt idx="14">
                  <c:v>1209962.3862857146</c:v>
                </c:pt>
                <c:pt idx="15">
                  <c:v>1205125.7051428573</c:v>
                </c:pt>
                <c:pt idx="16">
                  <c:v>1239004.5988571432</c:v>
                </c:pt>
                <c:pt idx="17">
                  <c:v>1252315.4285714286</c:v>
                </c:pt>
                <c:pt idx="18">
                  <c:v>1287716.5714285714</c:v>
                </c:pt>
                <c:pt idx="19">
                  <c:v>1296566.857142857</c:v>
                </c:pt>
                <c:pt idx="20">
                  <c:v>1323117.7142857143</c:v>
                </c:pt>
                <c:pt idx="21">
                  <c:v>1354093.7142857143</c:v>
                </c:pt>
                <c:pt idx="22">
                  <c:v>1300992</c:v>
                </c:pt>
                <c:pt idx="23">
                  <c:v>1327542.857142857</c:v>
                </c:pt>
                <c:pt idx="24">
                  <c:v>1327542.857142857</c:v>
                </c:pt>
                <c:pt idx="25">
                  <c:v>1367369.142857143</c:v>
                </c:pt>
                <c:pt idx="26">
                  <c:v>1340818.2857142857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DDA-4291-B929-91863902AAA5}"/>
            </c:ext>
          </c:extLst>
        </c:ser>
        <c:ser>
          <c:idx val="2"/>
          <c:order val="2"/>
          <c:tx>
            <c:strRef>
              <c:f>'N2O 2019 IPCC GL'!$B$62</c:f>
              <c:strCache>
                <c:ptCount val="1"/>
                <c:pt idx="0">
                  <c:v>emissions N2O from effluent</c:v>
                </c:pt>
              </c:strCache>
            </c:strRef>
          </c:tx>
          <c:spPr>
            <a:ln w="19050" cap="rnd">
              <a:solidFill>
                <a:schemeClr val="accent1">
                  <a:tint val="65000"/>
                </a:schemeClr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accent1">
                  <a:tint val="65000"/>
                </a:schemeClr>
              </a:solidFill>
              <a:ln w="9525">
                <a:solidFill>
                  <a:schemeClr val="accent1">
                    <a:tint val="65000"/>
                  </a:schemeClr>
                </a:solidFill>
              </a:ln>
              <a:effectLst/>
            </c:spPr>
          </c:marker>
          <c:xVal>
            <c:numRef>
              <c:f>'N2O 2019 IPCC GL'!$C$2:$AC$2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'N2O 2019 IPCC GL'!$C$64:$AC$64</c:f>
              <c:numCache>
                <c:formatCode>_ * #,##0_ ;_ * \-#,##0_ ;_ * "-"??_ ;_ @_ </c:formatCode>
                <c:ptCount val="27"/>
                <c:pt idx="0">
                  <c:v>245622.42655657302</c:v>
                </c:pt>
                <c:pt idx="1">
                  <c:v>240201.00616663072</c:v>
                </c:pt>
                <c:pt idx="2">
                  <c:v>231970.20873463122</c:v>
                </c:pt>
                <c:pt idx="3">
                  <c:v>216140.42700925691</c:v>
                </c:pt>
                <c:pt idx="4">
                  <c:v>207716.13713965751</c:v>
                </c:pt>
                <c:pt idx="5">
                  <c:v>194683.28203657226</c:v>
                </c:pt>
                <c:pt idx="6">
                  <c:v>181750.16415222987</c:v>
                </c:pt>
                <c:pt idx="7">
                  <c:v>180174.2319112687</c:v>
                </c:pt>
                <c:pt idx="8">
                  <c:v>176289.27274162319</c:v>
                </c:pt>
                <c:pt idx="9">
                  <c:v>169343.67803873189</c:v>
                </c:pt>
                <c:pt idx="10">
                  <c:v>171619.42134857213</c:v>
                </c:pt>
                <c:pt idx="11">
                  <c:v>163979.3999377609</c:v>
                </c:pt>
                <c:pt idx="12">
                  <c:v>160290.02852694967</c:v>
                </c:pt>
                <c:pt idx="13">
                  <c:v>161087.48386418424</c:v>
                </c:pt>
                <c:pt idx="14">
                  <c:v>158922.17745284556</c:v>
                </c:pt>
                <c:pt idx="15">
                  <c:v>151204.42308022865</c:v>
                </c:pt>
                <c:pt idx="16">
                  <c:v>150647.23369746312</c:v>
                </c:pt>
                <c:pt idx="17">
                  <c:v>147913.6081028576</c:v>
                </c:pt>
                <c:pt idx="18">
                  <c:v>148855.91876571497</c:v>
                </c:pt>
                <c:pt idx="19">
                  <c:v>145068.10849142948</c:v>
                </c:pt>
                <c:pt idx="20">
                  <c:v>144095.78982857263</c:v>
                </c:pt>
                <c:pt idx="21">
                  <c:v>143196.68653714273</c:v>
                </c:pt>
                <c:pt idx="22">
                  <c:v>132815.74943999961</c:v>
                </c:pt>
                <c:pt idx="23">
                  <c:v>135000.58628571406</c:v>
                </c:pt>
                <c:pt idx="24">
                  <c:v>133010.1017142857</c:v>
                </c:pt>
                <c:pt idx="25">
                  <c:v>137103.45565714251</c:v>
                </c:pt>
                <c:pt idx="26">
                  <c:v>131037.17389714274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DDA-4291-B929-91863902A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112448"/>
        <c:axId val="139114752"/>
      </c:scatterChart>
      <c:valAx>
        <c:axId val="139112448"/>
        <c:scaling>
          <c:orientation val="minMax"/>
          <c:max val="2016"/>
          <c:min val="199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CH"/>
                  <a:t>year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9114752"/>
        <c:crosses val="autoZero"/>
        <c:crossBetween val="midCat"/>
      </c:valAx>
      <c:valAx>
        <c:axId val="139114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CH"/>
                  <a:t>emissions [t N2O/y]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_ * #,##0_ ;_ * \-#,##0_ ;_ * &quot;-&quot;??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9112448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CH"/>
              <a:t>Tier 3</a:t>
            </a:r>
            <a:r>
              <a:rPr lang="de-CH" baseline="0"/>
              <a:t> Methodology</a:t>
            </a:r>
            <a:endParaRPr lang="de-CH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'Proposed N2O meth.'!$B$54</c:f>
              <c:strCache>
                <c:ptCount val="1"/>
                <c:pt idx="0">
                  <c:v>total N2O emissions</c:v>
                </c:pt>
              </c:strCache>
            </c:strRef>
          </c:tx>
          <c:spPr>
            <a:ln w="19050" cap="rnd">
              <a:solidFill>
                <a:schemeClr val="tx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50000"/>
                </a:schemeClr>
              </a:solidFill>
              <a:ln w="9525">
                <a:solidFill>
                  <a:schemeClr val="tx2">
                    <a:lumMod val="50000"/>
                  </a:schemeClr>
                </a:solidFill>
              </a:ln>
              <a:effectLst/>
            </c:spPr>
          </c:marker>
          <c:xVal>
            <c:numRef>
              <c:f>'Proposed N2O meth.'!$C$2:$AC$2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'Proposed N2O meth.'!$C$55:$AC$55</c:f>
              <c:numCache>
                <c:formatCode>_ * #,##0_ ;_ * \-#,##0_ ;_ * "-"??_ ;_ @_ </c:formatCode>
                <c:ptCount val="27"/>
                <c:pt idx="0">
                  <c:v>3756990.4022509675</c:v>
                </c:pt>
                <c:pt idx="1">
                  <c:v>3722515.9481199868</c:v>
                </c:pt>
                <c:pt idx="2">
                  <c:v>3653769.3036857257</c:v>
                </c:pt>
                <c:pt idx="3">
                  <c:v>3574630.3593529561</c:v>
                </c:pt>
                <c:pt idx="4">
                  <c:v>3514212.6023775721</c:v>
                </c:pt>
                <c:pt idx="5">
                  <c:v>3438572.3610043474</c:v>
                </c:pt>
                <c:pt idx="6">
                  <c:v>3337809.3395197913</c:v>
                </c:pt>
                <c:pt idx="7">
                  <c:v>3245435.0565834641</c:v>
                </c:pt>
                <c:pt idx="8">
                  <c:v>3155805.8808190748</c:v>
                </c:pt>
                <c:pt idx="9">
                  <c:v>3063149.346129261</c:v>
                </c:pt>
                <c:pt idx="10">
                  <c:v>2973356.5739438743</c:v>
                </c:pt>
                <c:pt idx="11">
                  <c:v>2899908.1422859305</c:v>
                </c:pt>
                <c:pt idx="12">
                  <c:v>2818202.0588795929</c:v>
                </c:pt>
                <c:pt idx="13">
                  <c:v>2737175.4922609017</c:v>
                </c:pt>
                <c:pt idx="14">
                  <c:v>2650649.7347732219</c:v>
                </c:pt>
                <c:pt idx="15">
                  <c:v>2560318.0094004055</c:v>
                </c:pt>
                <c:pt idx="16">
                  <c:v>2470516.551331081</c:v>
                </c:pt>
                <c:pt idx="17">
                  <c:v>2381716.3667959357</c:v>
                </c:pt>
                <c:pt idx="18">
                  <c:v>2301844.7875254056</c:v>
                </c:pt>
                <c:pt idx="19">
                  <c:v>2220255.537658107</c:v>
                </c:pt>
                <c:pt idx="20">
                  <c:v>2131914.0493727527</c:v>
                </c:pt>
                <c:pt idx="21">
                  <c:v>2103457.1627141549</c:v>
                </c:pt>
                <c:pt idx="22">
                  <c:v>2082285.424494925</c:v>
                </c:pt>
                <c:pt idx="23">
                  <c:v>2062425.4778423843</c:v>
                </c:pt>
                <c:pt idx="24">
                  <c:v>2044028.8027390137</c:v>
                </c:pt>
                <c:pt idx="25">
                  <c:v>2023319.1914485961</c:v>
                </c:pt>
                <c:pt idx="26">
                  <c:v>2001619.0905905641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3E9-42C5-8085-9683B44F9B83}"/>
            </c:ext>
          </c:extLst>
        </c:ser>
        <c:ser>
          <c:idx val="1"/>
          <c:order val="1"/>
          <c:tx>
            <c:strRef>
              <c:f>'Proposed N2O meth.'!$B$49</c:f>
              <c:strCache>
                <c:ptCount val="1"/>
                <c:pt idx="0">
                  <c:v>N2O emissions from WWTP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accent1">
                  <a:shade val="86000"/>
                </a:schemeClr>
              </a:solidFill>
              <a:ln w="9525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xVal>
            <c:numRef>
              <c:f>'Proposed N2O meth.'!$C$2:$AC$2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'Proposed N2O meth.'!$C$50:$AC$50</c:f>
              <c:numCache>
                <c:formatCode>_ * #,##0_ ;_ * \-#,##0_ ;_ * "-"??_ ;_ @_ </c:formatCode>
                <c:ptCount val="27"/>
                <c:pt idx="0">
                  <c:v>3461101.4100643359</c:v>
                </c:pt>
                <c:pt idx="1">
                  <c:v>3432916.5860991138</c:v>
                </c:pt>
                <c:pt idx="2">
                  <c:v>3373205.5682288669</c:v>
                </c:pt>
                <c:pt idx="3">
                  <c:v>3303939.7107958281</c:v>
                </c:pt>
                <c:pt idx="4">
                  <c:v>3252029.6275851275</c:v>
                </c:pt>
                <c:pt idx="5">
                  <c:v>3186092.8935384112</c:v>
                </c:pt>
                <c:pt idx="6">
                  <c:v>3096893.4609362162</c:v>
                </c:pt>
                <c:pt idx="7">
                  <c:v>3007335.7166008092</c:v>
                </c:pt>
                <c:pt idx="8">
                  <c:v>2922333.2841754491</c:v>
                </c:pt>
                <c:pt idx="9">
                  <c:v>2834531.6323757912</c:v>
                </c:pt>
                <c:pt idx="10">
                  <c:v>2749384.6000848324</c:v>
                </c:pt>
                <c:pt idx="11">
                  <c:v>2679341.7332071746</c:v>
                </c:pt>
                <c:pt idx="12">
                  <c:v>2601653.4981507785</c:v>
                </c:pt>
                <c:pt idx="13">
                  <c:v>2524581.322419764</c:v>
                </c:pt>
                <c:pt idx="14">
                  <c:v>2442428.9877839298</c:v>
                </c:pt>
                <c:pt idx="15">
                  <c:v>2356769.3773259786</c:v>
                </c:pt>
                <c:pt idx="16">
                  <c:v>2271600.7566842255</c:v>
                </c:pt>
                <c:pt idx="17">
                  <c:v>2187354.3423693371</c:v>
                </c:pt>
                <c:pt idx="18">
                  <c:v>2111298.0205159928</c:v>
                </c:pt>
                <c:pt idx="19">
                  <c:v>2033646.4137577077</c:v>
                </c:pt>
                <c:pt idx="20">
                  <c:v>1949799.346904431</c:v>
                </c:pt>
                <c:pt idx="21">
                  <c:v>1926990.880193</c:v>
                </c:pt>
                <c:pt idx="22">
                  <c:v>1907299.0261370789</c:v>
                </c:pt>
                <c:pt idx="23">
                  <c:v>1888807.8885878618</c:v>
                </c:pt>
                <c:pt idx="24">
                  <c:v>1871655.5649974614</c:v>
                </c:pt>
                <c:pt idx="25">
                  <c:v>1852384.1652817507</c:v>
                </c:pt>
                <c:pt idx="26">
                  <c:v>1832205.2337408962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3E9-42C5-8085-9683B44F9B83}"/>
            </c:ext>
          </c:extLst>
        </c:ser>
        <c:ser>
          <c:idx val="2"/>
          <c:order val="2"/>
          <c:tx>
            <c:strRef>
              <c:f>'Proposed N2O meth.'!$B$51</c:f>
              <c:strCache>
                <c:ptCount val="1"/>
                <c:pt idx="0">
                  <c:v>emissions N2O from effluent</c:v>
                </c:pt>
              </c:strCache>
            </c:strRef>
          </c:tx>
          <c:spPr>
            <a:ln w="19050" cap="rnd">
              <a:solidFill>
                <a:schemeClr val="accent1">
                  <a:tint val="65000"/>
                </a:schemeClr>
              </a:solidFill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xVal>
            <c:numRef>
              <c:f>'Proposed N2O meth.'!$C$2:$AC$2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'Proposed N2O meth.'!$C$52:$AC$52</c:f>
              <c:numCache>
                <c:formatCode>_ * #,##0_ ;_ * \-#,##0_ ;_ * "-"??_ ;_ @_ </c:formatCode>
                <c:ptCount val="27"/>
                <c:pt idx="0">
                  <c:v>295888.99218663166</c:v>
                </c:pt>
                <c:pt idx="1">
                  <c:v>289599.36202087312</c:v>
                </c:pt>
                <c:pt idx="2">
                  <c:v>280563.73545685882</c:v>
                </c:pt>
                <c:pt idx="3">
                  <c:v>270690.64855712798</c:v>
                </c:pt>
                <c:pt idx="4">
                  <c:v>262182.97479244444</c:v>
                </c:pt>
                <c:pt idx="5">
                  <c:v>252479.46746593635</c:v>
                </c:pt>
                <c:pt idx="6">
                  <c:v>240915.8785835749</c:v>
                </c:pt>
                <c:pt idx="7">
                  <c:v>238099.3399826551</c:v>
                </c:pt>
                <c:pt idx="8">
                  <c:v>233472.59664362596</c:v>
                </c:pt>
                <c:pt idx="9">
                  <c:v>228617.71375346961</c:v>
                </c:pt>
                <c:pt idx="10">
                  <c:v>223971.9738590421</c:v>
                </c:pt>
                <c:pt idx="11">
                  <c:v>220566.40907875582</c:v>
                </c:pt>
                <c:pt idx="12">
                  <c:v>216548.56072881442</c:v>
                </c:pt>
                <c:pt idx="13">
                  <c:v>212594.16984113763</c:v>
                </c:pt>
                <c:pt idx="14">
                  <c:v>208220.74698929206</c:v>
                </c:pt>
                <c:pt idx="15">
                  <c:v>203548.63207442683</c:v>
                </c:pt>
                <c:pt idx="16">
                  <c:v>198915.79464685541</c:v>
                </c:pt>
                <c:pt idx="17">
                  <c:v>194362.02442659874</c:v>
                </c:pt>
                <c:pt idx="18">
                  <c:v>190546.76700941278</c:v>
                </c:pt>
                <c:pt idx="19">
                  <c:v>186609.12390039951</c:v>
                </c:pt>
                <c:pt idx="20">
                  <c:v>182114.70246832166</c:v>
                </c:pt>
                <c:pt idx="21">
                  <c:v>176466.28252115499</c:v>
                </c:pt>
                <c:pt idx="22">
                  <c:v>174986.39835784602</c:v>
                </c:pt>
                <c:pt idx="23">
                  <c:v>173617.58925452246</c:v>
                </c:pt>
                <c:pt idx="24">
                  <c:v>172373.23774155235</c:v>
                </c:pt>
                <c:pt idx="25">
                  <c:v>170935.0261668454</c:v>
                </c:pt>
                <c:pt idx="26">
                  <c:v>169413.85684966791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3E9-42C5-8085-9683B44F9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290496"/>
        <c:axId val="139297152"/>
      </c:scatterChart>
      <c:valAx>
        <c:axId val="139290496"/>
        <c:scaling>
          <c:orientation val="minMax"/>
          <c:max val="2016"/>
          <c:min val="199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CH"/>
                  <a:t>year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9297152"/>
        <c:crosses val="autoZero"/>
        <c:crossBetween val="midCat"/>
      </c:valAx>
      <c:valAx>
        <c:axId val="1392971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CH"/>
                  <a:t>emissions [t N2O/y]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_ * #,##0_ ;_ * \-#,##0_ ;_ * &quot;-&quot;??_ ;_ @_ 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9290496"/>
        <c:crosses val="autoZero"/>
        <c:crossBetween val="midCat"/>
        <c:majorUnit val="300000"/>
        <c:dispUnits>
          <c:builtInUnit val="thousands"/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239086</xdr:colOff>
      <xdr:row>31</xdr:row>
      <xdr:rowOff>98613</xdr:rowOff>
    </xdr:from>
    <xdr:to>
      <xdr:col>15</xdr:col>
      <xdr:colOff>372678</xdr:colOff>
      <xdr:row>48</xdr:row>
      <xdr:rowOff>59875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11205</xdr:colOff>
      <xdr:row>31</xdr:row>
      <xdr:rowOff>100854</xdr:rowOff>
    </xdr:from>
    <xdr:to>
      <xdr:col>29</xdr:col>
      <xdr:colOff>457762</xdr:colOff>
      <xdr:row>48</xdr:row>
      <xdr:rowOff>84527</xdr:rowOff>
    </xdr:to>
    <xdr:graphicFrame macro="">
      <xdr:nvGraphicFramePr>
        <xdr:cNvPr id="19" name="Chart 13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280148</xdr:colOff>
      <xdr:row>58</xdr:row>
      <xdr:rowOff>44823</xdr:rowOff>
    </xdr:from>
    <xdr:to>
      <xdr:col>16</xdr:col>
      <xdr:colOff>89647</xdr:colOff>
      <xdr:row>74</xdr:row>
      <xdr:rowOff>118143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278501</xdr:colOff>
      <xdr:row>89</xdr:row>
      <xdr:rowOff>49384</xdr:rowOff>
    </xdr:from>
    <xdr:to>
      <xdr:col>9</xdr:col>
      <xdr:colOff>278501</xdr:colOff>
      <xdr:row>105</xdr:row>
      <xdr:rowOff>107984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47261</xdr:colOff>
      <xdr:row>88</xdr:row>
      <xdr:rowOff>85749</xdr:rowOff>
    </xdr:from>
    <xdr:to>
      <xdr:col>17</xdr:col>
      <xdr:colOff>257736</xdr:colOff>
      <xdr:row>104</xdr:row>
      <xdr:rowOff>160913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2352115</xdr:colOff>
      <xdr:row>65</xdr:row>
      <xdr:rowOff>5043</xdr:rowOff>
    </xdr:from>
    <xdr:to>
      <xdr:col>15</xdr:col>
      <xdr:colOff>424702</xdr:colOff>
      <xdr:row>82</xdr:row>
      <xdr:rowOff>74519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2352115</xdr:colOff>
      <xdr:row>65</xdr:row>
      <xdr:rowOff>5043</xdr:rowOff>
    </xdr:from>
    <xdr:to>
      <xdr:col>15</xdr:col>
      <xdr:colOff>424702</xdr:colOff>
      <xdr:row>82</xdr:row>
      <xdr:rowOff>74519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2352115</xdr:colOff>
      <xdr:row>72</xdr:row>
      <xdr:rowOff>5043</xdr:rowOff>
    </xdr:from>
    <xdr:to>
      <xdr:col>15</xdr:col>
      <xdr:colOff>424702</xdr:colOff>
      <xdr:row>89</xdr:row>
      <xdr:rowOff>74519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2205879</xdr:colOff>
      <xdr:row>58</xdr:row>
      <xdr:rowOff>94689</xdr:rowOff>
    </xdr:from>
    <xdr:to>
      <xdr:col>15</xdr:col>
      <xdr:colOff>354666</xdr:colOff>
      <xdr:row>76</xdr:row>
      <xdr:rowOff>7283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2304490</xdr:colOff>
      <xdr:row>82</xdr:row>
      <xdr:rowOff>5043</xdr:rowOff>
    </xdr:from>
    <xdr:to>
      <xdr:col>15</xdr:col>
      <xdr:colOff>377077</xdr:colOff>
      <xdr:row>99</xdr:row>
      <xdr:rowOff>74519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2723030</xdr:colOff>
      <xdr:row>72</xdr:row>
      <xdr:rowOff>11205</xdr:rowOff>
    </xdr:from>
    <xdr:to>
      <xdr:col>18</xdr:col>
      <xdr:colOff>132229</xdr:colOff>
      <xdr:row>89</xdr:row>
      <xdr:rowOff>80681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alculations%20CH.xlsx" TargetMode="External"/><Relationship Id="rId1" Type="http://schemas.openxmlformats.org/officeDocument/2006/relationships/hyperlink" Target="Calculations%20CH.xlsx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B1:AI104"/>
  <sheetViews>
    <sheetView zoomScale="85" zoomScaleNormal="85" workbookViewId="0">
      <selection activeCell="L15" activeCellId="1" sqref="L15 L15"/>
    </sheetView>
  </sheetViews>
  <sheetFormatPr defaultColWidth="9.140625" defaultRowHeight="14.25" x14ac:dyDescent="0.2"/>
  <cols>
    <col min="1" max="1" width="1.7109375" style="1" customWidth="1"/>
    <col min="2" max="2" width="4.7109375" style="1" customWidth="1"/>
    <col min="3" max="5" width="8.85546875" style="1" customWidth="1"/>
    <col min="6" max="32" width="9.28515625" style="1" customWidth="1"/>
    <col min="33" max="16384" width="9.140625" style="1"/>
  </cols>
  <sheetData>
    <row r="1" spans="2:6" s="342" customFormat="1" x14ac:dyDescent="0.2">
      <c r="B1" s="340" t="s">
        <v>170</v>
      </c>
    </row>
    <row r="2" spans="2:6" s="342" customFormat="1" x14ac:dyDescent="0.2">
      <c r="B2" s="340" t="s">
        <v>171</v>
      </c>
    </row>
    <row r="3" spans="2:6" s="342" customFormat="1" x14ac:dyDescent="0.2">
      <c r="B3" s="340" t="s">
        <v>172</v>
      </c>
    </row>
    <row r="5" spans="2:6" ht="15" x14ac:dyDescent="0.25">
      <c r="B5" s="280" t="s">
        <v>112</v>
      </c>
    </row>
    <row r="6" spans="2:6" ht="10.5" customHeight="1" x14ac:dyDescent="0.25">
      <c r="B6" s="280"/>
    </row>
    <row r="7" spans="2:6" ht="15" x14ac:dyDescent="0.25">
      <c r="C7" s="281" t="s">
        <v>113</v>
      </c>
      <c r="F7" s="1" t="s">
        <v>109</v>
      </c>
    </row>
    <row r="8" spans="2:6" ht="15" x14ac:dyDescent="0.25">
      <c r="C8" s="341" t="s">
        <v>107</v>
      </c>
      <c r="F8" s="1" t="s">
        <v>110</v>
      </c>
    </row>
    <row r="9" spans="2:6" ht="15" x14ac:dyDescent="0.25">
      <c r="C9" s="341" t="s">
        <v>174</v>
      </c>
      <c r="F9" s="343" t="s">
        <v>173</v>
      </c>
    </row>
    <row r="10" spans="2:6" ht="15" x14ac:dyDescent="0.25">
      <c r="C10" s="281" t="s">
        <v>85</v>
      </c>
      <c r="F10" s="1" t="s">
        <v>111</v>
      </c>
    </row>
    <row r="11" spans="2:6" ht="6" customHeight="1" x14ac:dyDescent="0.2"/>
    <row r="12" spans="2:6" ht="15" x14ac:dyDescent="0.25">
      <c r="C12" s="281" t="s">
        <v>108</v>
      </c>
      <c r="F12" s="1" t="s">
        <v>110</v>
      </c>
    </row>
    <row r="13" spans="2:6" ht="15" x14ac:dyDescent="0.25">
      <c r="C13" s="281" t="s">
        <v>86</v>
      </c>
      <c r="F13" s="1" t="s">
        <v>111</v>
      </c>
    </row>
    <row r="16" spans="2:6" ht="15" thickBot="1" x14ac:dyDescent="0.25"/>
    <row r="17" spans="2:35" s="2" customFormat="1" ht="15.95" customHeight="1" thickBot="1" x14ac:dyDescent="0.25">
      <c r="B17" s="249"/>
      <c r="C17" s="250"/>
      <c r="D17" s="250"/>
      <c r="E17" s="250"/>
      <c r="F17" s="250">
        <v>1990</v>
      </c>
      <c r="G17" s="250">
        <v>1991</v>
      </c>
      <c r="H17" s="250">
        <v>1992</v>
      </c>
      <c r="I17" s="250">
        <v>1993</v>
      </c>
      <c r="J17" s="250">
        <v>1994</v>
      </c>
      <c r="K17" s="250">
        <v>1995</v>
      </c>
      <c r="L17" s="250">
        <v>1996</v>
      </c>
      <c r="M17" s="250">
        <v>1997</v>
      </c>
      <c r="N17" s="250">
        <v>1998</v>
      </c>
      <c r="O17" s="250">
        <v>1999</v>
      </c>
      <c r="P17" s="250">
        <v>2000</v>
      </c>
      <c r="Q17" s="250">
        <v>2001</v>
      </c>
      <c r="R17" s="250">
        <v>2002</v>
      </c>
      <c r="S17" s="250">
        <v>2003</v>
      </c>
      <c r="T17" s="250">
        <v>2004</v>
      </c>
      <c r="U17" s="250">
        <v>2005</v>
      </c>
      <c r="V17" s="250">
        <v>2006</v>
      </c>
      <c r="W17" s="250">
        <v>2007</v>
      </c>
      <c r="X17" s="250">
        <v>2008</v>
      </c>
      <c r="Y17" s="250">
        <v>2009</v>
      </c>
      <c r="Z17" s="250">
        <v>2010</v>
      </c>
      <c r="AA17" s="250">
        <v>2011</v>
      </c>
      <c r="AB17" s="250">
        <v>2012</v>
      </c>
      <c r="AC17" s="250">
        <v>2013</v>
      </c>
      <c r="AD17" s="250">
        <v>2014</v>
      </c>
      <c r="AE17" s="250">
        <v>2015</v>
      </c>
      <c r="AF17" s="250">
        <v>2016</v>
      </c>
      <c r="AG17" s="250">
        <v>2017</v>
      </c>
      <c r="AH17" s="250">
        <v>2018</v>
      </c>
      <c r="AI17" s="251">
        <v>2019</v>
      </c>
    </row>
    <row r="18" spans="2:35" s="2" customFormat="1" ht="15.95" customHeight="1" x14ac:dyDescent="0.25">
      <c r="B18" s="262" t="s">
        <v>51</v>
      </c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3"/>
      <c r="N18" s="263"/>
      <c r="O18" s="263"/>
      <c r="P18" s="263"/>
      <c r="Q18" s="263"/>
      <c r="R18" s="263"/>
      <c r="S18" s="263"/>
      <c r="T18" s="263"/>
      <c r="U18" s="263"/>
      <c r="V18" s="263"/>
      <c r="W18" s="263"/>
      <c r="X18" s="263"/>
      <c r="Y18" s="263"/>
      <c r="Z18" s="263"/>
      <c r="AA18" s="263"/>
      <c r="AB18" s="263"/>
      <c r="AC18" s="263"/>
      <c r="AD18" s="263"/>
      <c r="AE18" s="263"/>
      <c r="AF18" s="263"/>
      <c r="AG18" s="263"/>
      <c r="AH18" s="263"/>
      <c r="AI18" s="264"/>
    </row>
    <row r="19" spans="2:35" s="2" customFormat="1" ht="15.95" customHeight="1" x14ac:dyDescent="0.25">
      <c r="B19" s="345" t="s">
        <v>152</v>
      </c>
      <c r="C19" s="346"/>
      <c r="D19" s="346"/>
      <c r="E19" s="346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104"/>
    </row>
    <row r="20" spans="2:35" s="2" customFormat="1" ht="15.95" customHeight="1" x14ac:dyDescent="0.3">
      <c r="B20" s="145"/>
      <c r="C20" s="347" t="s">
        <v>60</v>
      </c>
      <c r="D20" s="347"/>
      <c r="E20" s="347"/>
      <c r="F20" s="35">
        <f>'N2O 2006 IPCC GL'!C60/1000</f>
        <v>270.9723947428572</v>
      </c>
      <c r="G20" s="35">
        <f>'N2O 2006 IPCC GL'!D60/1000</f>
        <v>277.8723814857143</v>
      </c>
      <c r="H20" s="35">
        <f>'N2O 2006 IPCC GL'!E60/1000</f>
        <v>281.9418879085714</v>
      </c>
      <c r="I20" s="35">
        <f>'N2O 2006 IPCC GL'!F60/1000</f>
        <v>277.53274363428574</v>
      </c>
      <c r="J20" s="35">
        <f>'N2O 2006 IPCC GL'!G60/1000</f>
        <v>281.57794429714284</v>
      </c>
      <c r="K20" s="35">
        <f>'N2O 2006 IPCC GL'!H60/1000</f>
        <v>280.28168595428571</v>
      </c>
      <c r="L20" s="35">
        <f>'N2O 2006 IPCC GL'!I60/1000</f>
        <v>278.92935794285722</v>
      </c>
      <c r="M20" s="35">
        <f>'N2O 2006 IPCC GL'!J60/1000</f>
        <v>280.27889772571433</v>
      </c>
      <c r="N20" s="35">
        <f>'N2O 2006 IPCC GL'!K60/1000</f>
        <v>281.66435360000003</v>
      </c>
      <c r="O20" s="35">
        <f>'N2O 2006 IPCC GL'!L60/1000</f>
        <v>278.92987221257147</v>
      </c>
      <c r="P20" s="35">
        <f>'N2O 2006 IPCC GL'!M60/1000</f>
        <v>288.41196130971429</v>
      </c>
      <c r="Q20" s="35">
        <f>'N2O 2006 IPCC GL'!N60/1000</f>
        <v>284.29472179428569</v>
      </c>
      <c r="R20" s="35">
        <f>'N2O 2006 IPCC GL'!O60/1000</f>
        <v>285.62391466285715</v>
      </c>
      <c r="S20" s="35">
        <f>'N2O 2006 IPCC GL'!P60/1000</f>
        <v>294.13353033142863</v>
      </c>
      <c r="T20" s="35">
        <f>'N2O 2006 IPCC GL'!Q60/1000</f>
        <v>298.4796600617143</v>
      </c>
      <c r="U20" s="35">
        <f>'N2O 2006 IPCC GL'!R60/1000</f>
        <v>295.41810782628568</v>
      </c>
      <c r="V20" s="35">
        <f>'N2O 2006 IPCC GL'!S60/1000</f>
        <v>303.55767469714283</v>
      </c>
      <c r="W20" s="35">
        <f>'N2O 2006 IPCC GL'!T60/1000</f>
        <v>307.52755769142857</v>
      </c>
      <c r="X20" s="35">
        <f>'N2O 2006 IPCC GL'!U60/1000</f>
        <v>317.86884070857144</v>
      </c>
      <c r="Y20" s="35">
        <f>'N2O 2006 IPCC GL'!V60/1000</f>
        <v>320.66108962285716</v>
      </c>
      <c r="Z20" s="35">
        <f>'N2O 2006 IPCC GL'!W60/1000</f>
        <v>328.44175972571423</v>
      </c>
      <c r="AA20" s="35">
        <f>'N2O 2006 IPCC GL'!X60/1000</f>
        <v>337.34676804571433</v>
      </c>
      <c r="AB20" s="35">
        <f>'N2O 2006 IPCC GL'!Y60/1000</f>
        <v>322.52357456000004</v>
      </c>
      <c r="AC20" s="35">
        <f>'N2O 2006 IPCC GL'!Z60/1000</f>
        <v>330.35057186285707</v>
      </c>
      <c r="AD20" s="35">
        <f>'N2O 2006 IPCC GL'!AA60/1000</f>
        <v>330.65941986285719</v>
      </c>
      <c r="AE20" s="35">
        <f>'N2O 2006 IPCC GL'!AB60/1000</f>
        <v>342.26093421714285</v>
      </c>
      <c r="AF20" s="35">
        <f>'N2O 2006 IPCC GL'!AC60/1000</f>
        <v>334.99912875428572</v>
      </c>
      <c r="AG20" s="35">
        <f>'N2O 2006 IPCC GL'!AD60/1000</f>
        <v>335.28018043428574</v>
      </c>
      <c r="AH20" s="35">
        <f>'N2O 2006 IPCC GL'!AE60/1000</f>
        <v>338.35586068571428</v>
      </c>
      <c r="AI20" s="252">
        <f>'N2O 2006 IPCC GL'!AF60/1000</f>
        <v>341.38502665142863</v>
      </c>
    </row>
    <row r="21" spans="2:35" s="2" customFormat="1" ht="15.95" customHeight="1" x14ac:dyDescent="0.25">
      <c r="B21" s="345" t="s">
        <v>151</v>
      </c>
      <c r="C21" s="346"/>
      <c r="D21" s="346"/>
      <c r="E21" s="346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253"/>
    </row>
    <row r="22" spans="2:35" s="2" customFormat="1" ht="15.95" customHeight="1" x14ac:dyDescent="0.3">
      <c r="B22" s="145"/>
      <c r="C22" s="347" t="s">
        <v>60</v>
      </c>
      <c r="D22" s="347"/>
      <c r="E22" s="347"/>
      <c r="F22" s="35">
        <f>'N2O 2019 IPCC GL'!C67/1000</f>
        <v>1392.6681316994302</v>
      </c>
      <c r="G22" s="35">
        <f>'N2O 2019 IPCC GL'!D67/1000</f>
        <v>1406.606711309488</v>
      </c>
      <c r="H22" s="35">
        <f>'N2O 2019 IPCC GL'!E67/1000</f>
        <v>1408.0537013060602</v>
      </c>
      <c r="I22" s="35">
        <f>'N2O 2019 IPCC GL'!F67/1000</f>
        <v>1372.8683447235426</v>
      </c>
      <c r="J22" s="35">
        <f>'N2O 2019 IPCC GL'!G67/1000</f>
        <v>1374.1218422825148</v>
      </c>
      <c r="K22" s="35">
        <f>'N2O 2019 IPCC GL'!H67/1000</f>
        <v>1356.2478808937153</v>
      </c>
      <c r="L22" s="35">
        <f>'N2O 2019 IPCC GL'!I67/1000</f>
        <v>1338.4780818665158</v>
      </c>
      <c r="M22" s="35">
        <f>'N2O 2019 IPCC GL'!J67/1000</f>
        <v>1341.7388307684121</v>
      </c>
      <c r="N22" s="35">
        <f>'N2O 2019 IPCC GL'!K67/1000</f>
        <v>1342.6949778844805</v>
      </c>
      <c r="O22" s="35">
        <f>'N2O 2019 IPCC GL'!L67/1000</f>
        <v>1326.0715957530178</v>
      </c>
      <c r="P22" s="35">
        <f>'N2O 2019 IPCC GL'!M67/1000</f>
        <v>1357.3851264914292</v>
      </c>
      <c r="Q22" s="35">
        <f>'N2O 2019 IPCC GL'!N67/1000</f>
        <v>1330.3851050806181</v>
      </c>
      <c r="R22" s="35">
        <f>'N2O 2019 IPCC GL'!O67/1000</f>
        <v>1326.6957336698069</v>
      </c>
      <c r="S22" s="35">
        <f>'N2O 2019 IPCC GL'!P67/1000</f>
        <v>1356.5309764356132</v>
      </c>
      <c r="T22" s="35">
        <f>'N2O 2019 IPCC GL'!Q67/1000</f>
        <v>1368.88456373856</v>
      </c>
      <c r="U22" s="35">
        <f>'N2O 2019 IPCC GL'!R67/1000</f>
        <v>1356.3301282230859</v>
      </c>
      <c r="V22" s="35">
        <f>'N2O 2019 IPCC GL'!S67/1000</f>
        <v>1389.6518325546062</v>
      </c>
      <c r="W22" s="35">
        <f>'N2O 2019 IPCC GL'!T67/1000</f>
        <v>1400.2290366742861</v>
      </c>
      <c r="X22" s="35">
        <f>'N2O 2019 IPCC GL'!U67/1000</f>
        <v>1436.5724901942863</v>
      </c>
      <c r="Y22" s="35">
        <f>'N2O 2019 IPCC GL'!V67/1000</f>
        <v>1441.6349656342863</v>
      </c>
      <c r="Z22" s="35">
        <f>'N2O 2019 IPCC GL'!W67/1000</f>
        <v>1467.2135041142869</v>
      </c>
      <c r="AA22" s="35">
        <f>'N2O 2019 IPCC GL'!X67/1000</f>
        <v>1497.290400822857</v>
      </c>
      <c r="AB22" s="35">
        <f>'N2O 2019 IPCC GL'!Y67/1000</f>
        <v>1433.8077494399997</v>
      </c>
      <c r="AC22" s="35">
        <f>'N2O 2019 IPCC GL'!Z67/1000</f>
        <v>1462.5434434285712</v>
      </c>
      <c r="AD22" s="35">
        <f>'N2O 2019 IPCC GL'!AA67/1000</f>
        <v>1460.5529588571428</v>
      </c>
      <c r="AE22" s="35">
        <f>'N2O 2019 IPCC GL'!AB67/1000</f>
        <v>1504.4725985142854</v>
      </c>
      <c r="AF22" s="35">
        <f>'N2O 2019 IPCC GL'!AC67/1000</f>
        <v>1471.8554596114284</v>
      </c>
      <c r="AG22" s="35">
        <f>'N2O 2019 IPCC GL'!AD67/1000</f>
        <v>1469.8450701942854</v>
      </c>
      <c r="AH22" s="35">
        <f>'N2O 2019 IPCC GL'!AE67/1000</f>
        <v>1479.1302329895773</v>
      </c>
      <c r="AI22" s="252">
        <f>'N2O 2019 IPCC GL'!AF67/1000</f>
        <v>1488.1981371540803</v>
      </c>
    </row>
    <row r="23" spans="2:35" s="2" customFormat="1" ht="15.95" customHeight="1" x14ac:dyDescent="0.25">
      <c r="B23" s="254" t="s">
        <v>150</v>
      </c>
      <c r="C23" s="198"/>
      <c r="D23" s="198"/>
      <c r="E23" s="198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255"/>
    </row>
    <row r="24" spans="2:35" s="2" customFormat="1" ht="15.95" customHeight="1" x14ac:dyDescent="0.3">
      <c r="B24" s="145"/>
      <c r="C24" s="347" t="s">
        <v>60</v>
      </c>
      <c r="D24" s="347"/>
      <c r="E24" s="347"/>
      <c r="F24" s="35">
        <f>'Proposed N2O meth.'!C55/1000</f>
        <v>3756.9904022509672</v>
      </c>
      <c r="G24" s="35">
        <f>'Proposed N2O meth.'!D55/1000</f>
        <v>3722.5159481199867</v>
      </c>
      <c r="H24" s="35">
        <f>'Proposed N2O meth.'!E55/1000</f>
        <v>3653.7693036857258</v>
      </c>
      <c r="I24" s="35">
        <f>'Proposed N2O meth.'!F55/1000</f>
        <v>3574.630359352956</v>
      </c>
      <c r="J24" s="35">
        <f>'Proposed N2O meth.'!G55/1000</f>
        <v>3514.2126023775722</v>
      </c>
      <c r="K24" s="35">
        <f>'Proposed N2O meth.'!H55/1000</f>
        <v>3438.5723610043474</v>
      </c>
      <c r="L24" s="35">
        <f>'Proposed N2O meth.'!I55/1000</f>
        <v>3337.8093395197911</v>
      </c>
      <c r="M24" s="35">
        <f>'Proposed N2O meth.'!J55/1000</f>
        <v>3245.4350565834643</v>
      </c>
      <c r="N24" s="35">
        <f>'Proposed N2O meth.'!K55/1000</f>
        <v>3155.8058808190749</v>
      </c>
      <c r="O24" s="35">
        <f>'Proposed N2O meth.'!L55/1000</f>
        <v>3063.1493461292612</v>
      </c>
      <c r="P24" s="35">
        <f>'Proposed N2O meth.'!M55/1000</f>
        <v>2973.3565739438745</v>
      </c>
      <c r="Q24" s="35">
        <f>'Proposed N2O meth.'!N55/1000</f>
        <v>2899.9081422859304</v>
      </c>
      <c r="R24" s="35">
        <f>'Proposed N2O meth.'!O55/1000</f>
        <v>2818.2020588795931</v>
      </c>
      <c r="S24" s="35">
        <f>'Proposed N2O meth.'!P55/1000</f>
        <v>2737.1754922609016</v>
      </c>
      <c r="T24" s="35">
        <f>'Proposed N2O meth.'!Q55/1000</f>
        <v>2650.649734773222</v>
      </c>
      <c r="U24" s="35">
        <f>'Proposed N2O meth.'!R55/1000</f>
        <v>2560.3180094004056</v>
      </c>
      <c r="V24" s="35">
        <f>'Proposed N2O meth.'!S55/1000</f>
        <v>2470.5165513310808</v>
      </c>
      <c r="W24" s="35">
        <f>'Proposed N2O meth.'!T55/1000</f>
        <v>2381.7163667959358</v>
      </c>
      <c r="X24" s="35">
        <f>'Proposed N2O meth.'!U55/1000</f>
        <v>2301.8447875254055</v>
      </c>
      <c r="Y24" s="35">
        <f>'Proposed N2O meth.'!V55/1000</f>
        <v>2220.2555376581072</v>
      </c>
      <c r="Z24" s="35">
        <f>'Proposed N2O meth.'!W55/1000</f>
        <v>2131.9140493727527</v>
      </c>
      <c r="AA24" s="35">
        <f>'Proposed N2O meth.'!X55/1000</f>
        <v>2103.4571627141549</v>
      </c>
      <c r="AB24" s="35">
        <f>'Proposed N2O meth.'!Y55/1000</f>
        <v>2082.2854244949249</v>
      </c>
      <c r="AC24" s="35">
        <f>'Proposed N2O meth.'!Z55/1000</f>
        <v>2062.4254778423842</v>
      </c>
      <c r="AD24" s="35">
        <f>'Proposed N2O meth.'!AA55/1000</f>
        <v>2044.0288027390136</v>
      </c>
      <c r="AE24" s="35">
        <f>'Proposed N2O meth.'!AB55/1000</f>
        <v>2023.319191448596</v>
      </c>
      <c r="AF24" s="35">
        <f>'Proposed N2O meth.'!AC55/1000</f>
        <v>2001.6190905905642</v>
      </c>
      <c r="AG24" s="35">
        <f>'Proposed N2O meth.'!AD55/1000</f>
        <v>1976.6367725437131</v>
      </c>
      <c r="AH24" s="35">
        <f>'Proposed N2O meth.'!AE55/1000</f>
        <v>1947.428837909983</v>
      </c>
      <c r="AI24" s="252">
        <f>'Proposed N2O meth.'!AF55/1000</f>
        <v>1917.8461180821257</v>
      </c>
    </row>
    <row r="25" spans="2:35" s="2" customFormat="1" ht="15.95" customHeight="1" thickBot="1" x14ac:dyDescent="0.25">
      <c r="B25" s="153"/>
      <c r="C25" s="107"/>
      <c r="D25" s="107"/>
      <c r="E25" s="107"/>
      <c r="F25" s="256"/>
      <c r="G25" s="256"/>
      <c r="H25" s="256"/>
      <c r="I25" s="256"/>
      <c r="J25" s="256"/>
      <c r="K25" s="256"/>
      <c r="L25" s="256"/>
      <c r="M25" s="256"/>
      <c r="N25" s="256"/>
      <c r="O25" s="256"/>
      <c r="P25" s="256"/>
      <c r="Q25" s="256"/>
      <c r="R25" s="256"/>
      <c r="S25" s="256"/>
      <c r="T25" s="256"/>
      <c r="U25" s="256"/>
      <c r="V25" s="256"/>
      <c r="W25" s="256"/>
      <c r="X25" s="256"/>
      <c r="Y25" s="256"/>
      <c r="Z25" s="256"/>
      <c r="AA25" s="256"/>
      <c r="AB25" s="256"/>
      <c r="AC25" s="256"/>
      <c r="AD25" s="256"/>
      <c r="AE25" s="256"/>
      <c r="AF25" s="256"/>
      <c r="AG25" s="256"/>
      <c r="AH25" s="256"/>
      <c r="AI25" s="265"/>
    </row>
    <row r="26" spans="2:35" s="2" customFormat="1" ht="15.95" customHeight="1" x14ac:dyDescent="0.25">
      <c r="B26" s="258" t="s">
        <v>52</v>
      </c>
      <c r="C26" s="259"/>
      <c r="D26" s="259"/>
      <c r="E26" s="259"/>
      <c r="F26" s="260"/>
      <c r="G26" s="260"/>
      <c r="H26" s="260"/>
      <c r="I26" s="260"/>
      <c r="J26" s="260"/>
      <c r="K26" s="260"/>
      <c r="L26" s="260"/>
      <c r="M26" s="260"/>
      <c r="N26" s="260"/>
      <c r="O26" s="260"/>
      <c r="P26" s="260"/>
      <c r="Q26" s="260"/>
      <c r="R26" s="260"/>
      <c r="S26" s="260"/>
      <c r="T26" s="260"/>
      <c r="U26" s="260"/>
      <c r="V26" s="260"/>
      <c r="W26" s="260"/>
      <c r="X26" s="260"/>
      <c r="Y26" s="260"/>
      <c r="Z26" s="260"/>
      <c r="AA26" s="260"/>
      <c r="AB26" s="260"/>
      <c r="AC26" s="260"/>
      <c r="AD26" s="260"/>
      <c r="AE26" s="260"/>
      <c r="AF26" s="260"/>
      <c r="AG26" s="260"/>
      <c r="AH26" s="260"/>
      <c r="AI26" s="261"/>
    </row>
    <row r="27" spans="2:35" s="2" customFormat="1" ht="15.95" customHeight="1" x14ac:dyDescent="0.2">
      <c r="B27" s="348" t="s">
        <v>87</v>
      </c>
      <c r="C27" s="349"/>
      <c r="D27" s="349"/>
      <c r="E27" s="349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101"/>
    </row>
    <row r="28" spans="2:35" s="2" customFormat="1" ht="15.95" customHeight="1" x14ac:dyDescent="0.3">
      <c r="B28" s="145"/>
      <c r="C28" s="347" t="s">
        <v>49</v>
      </c>
      <c r="D28" s="347"/>
      <c r="E28" s="347"/>
      <c r="F28" s="27">
        <f>'CH4 2006 IPCC GL'!C79</f>
        <v>5214.7306044627439</v>
      </c>
      <c r="G28" s="27">
        <f>'CH4 2006 IPCC GL'!D79</f>
        <v>5337.7548259971691</v>
      </c>
      <c r="H28" s="27">
        <f>'CH4 2006 IPCC GL'!E79</f>
        <v>5416.1395291527815</v>
      </c>
      <c r="I28" s="27">
        <f>'CH4 2006 IPCC GL'!F79</f>
        <v>5481.7250139256448</v>
      </c>
      <c r="J28" s="27">
        <f>'CH4 2006 IPCC GL'!G79</f>
        <v>5579.2737474052201</v>
      </c>
      <c r="K28" s="27">
        <f>'CH4 2006 IPCC GL'!H79</f>
        <v>5655.8796021019616</v>
      </c>
      <c r="L28" s="27">
        <f>'CH4 2006 IPCC GL'!I79</f>
        <v>5693.5703709840845</v>
      </c>
      <c r="M28" s="27">
        <f>'CH4 2006 IPCC GL'!J79</f>
        <v>5730.2051004128707</v>
      </c>
      <c r="N28" s="27">
        <f>'CH4 2006 IPCC GL'!K79</f>
        <v>5775.8151041186611</v>
      </c>
      <c r="O28" s="27">
        <f>'CH4 2006 IPCC GL'!L79</f>
        <v>5816.5060802083308</v>
      </c>
      <c r="P28" s="27">
        <f>'CH4 2006 IPCC GL'!M79</f>
        <v>5862.5603640235386</v>
      </c>
      <c r="Q28" s="27">
        <f>'CH4 2006 IPCC GL'!N79</f>
        <v>5942.8971383568951</v>
      </c>
      <c r="R28" s="27">
        <f>'CH4 2006 IPCC GL'!O79</f>
        <v>6008.8902647794439</v>
      </c>
      <c r="S28" s="27">
        <f>'CH4 2006 IPCC GL'!P79</f>
        <v>6078.4612680038417</v>
      </c>
      <c r="T28" s="27">
        <f>'CH4 2006 IPCC GL'!Q79</f>
        <v>6137.6428117689538</v>
      </c>
      <c r="U28" s="27">
        <f>'CH4 2006 IPCC GL'!R79</f>
        <v>6194.2241058752543</v>
      </c>
      <c r="V28" s="27">
        <f>'CH4 2006 IPCC GL'!S79</f>
        <v>6309.5666703133593</v>
      </c>
      <c r="W28" s="27">
        <f>'CH4 2006 IPCC GL'!T79</f>
        <v>6372.4236628814879</v>
      </c>
      <c r="X28" s="27">
        <f>'CH4 2006 IPCC GL'!U79</f>
        <v>6482.7962221587268</v>
      </c>
      <c r="Y28" s="27">
        <f>'CH4 2006 IPCC GL'!V79</f>
        <v>6560.0522322889947</v>
      </c>
      <c r="Z28" s="27">
        <f>'CH4 2006 IPCC GL'!W79</f>
        <v>6658.3053185232066</v>
      </c>
      <c r="AA28" s="27">
        <f>'CH4 2006 IPCC GL'!X79</f>
        <v>6728.9856364007792</v>
      </c>
      <c r="AB28" s="27">
        <f>'CH4 2006 IPCC GL'!Y79</f>
        <v>6768.0909872390548</v>
      </c>
      <c r="AC28" s="27">
        <f>'CH4 2006 IPCC GL'!Z79</f>
        <v>6892.7978900061999</v>
      </c>
      <c r="AD28" s="27">
        <f>'CH4 2006 IPCC GL'!AA79</f>
        <v>7064.6594441724274</v>
      </c>
      <c r="AE28" s="27">
        <f>'CH4 2006 IPCC GL'!AB79</f>
        <v>7183.65830156843</v>
      </c>
      <c r="AF28" s="27">
        <f>'CH4 2006 IPCC GL'!AC79</f>
        <v>7325.8260789169399</v>
      </c>
      <c r="AG28" s="27">
        <f>'CH4 2006 IPCC GL'!AD79</f>
        <v>7388.6245470730037</v>
      </c>
      <c r="AH28" s="27">
        <f>'CH4 2006 IPCC GL'!AE79</f>
        <v>7430.5649109548503</v>
      </c>
      <c r="AI28" s="114">
        <f>'CH4 2006 IPCC GL'!AF79</f>
        <v>7477.7473876329632</v>
      </c>
    </row>
    <row r="29" spans="2:35" s="2" customFormat="1" ht="15.95" customHeight="1" x14ac:dyDescent="0.2">
      <c r="B29" s="345" t="s">
        <v>86</v>
      </c>
      <c r="C29" s="346"/>
      <c r="D29" s="346"/>
      <c r="E29" s="346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253"/>
    </row>
    <row r="30" spans="2:35" s="2" customFormat="1" ht="15.95" customHeight="1" x14ac:dyDescent="0.3">
      <c r="B30" s="145"/>
      <c r="C30" s="347" t="s">
        <v>49</v>
      </c>
      <c r="D30" s="347"/>
      <c r="E30" s="347"/>
      <c r="F30" s="27">
        <f>'Proposed CH4 meth.'!C68</f>
        <v>4018.5342504741188</v>
      </c>
      <c r="G30" s="27">
        <f>'Proposed CH4 meth.'!D68</f>
        <v>4113.4059546856151</v>
      </c>
      <c r="H30" s="27">
        <f>'Proposed CH4 meth.'!E68</f>
        <v>4173.8821092230046</v>
      </c>
      <c r="I30" s="27">
        <f>'Proposed CH4 meth.'!F68</f>
        <v>4224.4956799095671</v>
      </c>
      <c r="J30" s="27">
        <f>'Proposed CH4 meth.'!G68</f>
        <v>4299.7427088504865</v>
      </c>
      <c r="K30" s="27">
        <f>'Proposed CH4 meth.'!H68</f>
        <v>4349.8890392154026</v>
      </c>
      <c r="L30" s="27">
        <f>'Proposed CH4 meth.'!I68</f>
        <v>4387.9730823649761</v>
      </c>
      <c r="M30" s="27">
        <f>'Proposed CH4 meth.'!J68</f>
        <v>4416.280634394564</v>
      </c>
      <c r="N30" s="27">
        <f>'Proposed CH4 meth.'!K68</f>
        <v>4451.5069671375122</v>
      </c>
      <c r="O30" s="27">
        <f>'Proposed CH4 meth.'!L68</f>
        <v>4487.4791469786596</v>
      </c>
      <c r="P30" s="27">
        <f>'Proposed CH4 meth.'!M68</f>
        <v>4518.5134782015175</v>
      </c>
      <c r="Q30" s="27">
        <f>'Proposed CH4 meth.'!N68</f>
        <v>4580.5071604810109</v>
      </c>
      <c r="R30" s="27">
        <f>'Proposed CH4 meth.'!O68</f>
        <v>4631.4488938461245</v>
      </c>
      <c r="S30" s="27">
        <f>'Proposed CH4 meth.'!P68</f>
        <v>4685.1499809873967</v>
      </c>
      <c r="T30" s="27">
        <f>'Proposed CH4 meth.'!Q68</f>
        <v>4730.8446811896429</v>
      </c>
      <c r="U30" s="27">
        <f>'Proposed CH4 meth.'!R68</f>
        <v>4775.9604825827182</v>
      </c>
      <c r="V30" s="27">
        <f>'Proposed CH4 meth.'!S68</f>
        <v>4822.6397611440052</v>
      </c>
      <c r="W30" s="27">
        <f>'Proposed CH4 meth.'!T68</f>
        <v>4866.1997672800935</v>
      </c>
      <c r="X30" s="27">
        <f>'Proposed CH4 meth.'!U68</f>
        <v>4947.7146218909165</v>
      </c>
      <c r="Y30" s="27">
        <f>'Proposed CH4 meth.'!V68</f>
        <v>5003.9547318370142</v>
      </c>
      <c r="Z30" s="27">
        <f>'Proposed CH4 meth.'!W68</f>
        <v>5074.7000798566687</v>
      </c>
      <c r="AA30" s="27">
        <f>'Proposed CH4 meth.'!X68</f>
        <v>5115.8296516909286</v>
      </c>
      <c r="AB30" s="27">
        <f>'Proposed CH4 meth.'!Y68</f>
        <v>5147.0317945283223</v>
      </c>
      <c r="AC30" s="27">
        <f>'Proposed CH4 meth.'!Z68</f>
        <v>5253.6462468444734</v>
      </c>
      <c r="AD30" s="27">
        <f>'Proposed CH4 meth.'!AA68</f>
        <v>5387.4693287857217</v>
      </c>
      <c r="AE30" s="27">
        <f>'Proposed CH4 meth.'!AB68</f>
        <v>5492.4585657539919</v>
      </c>
      <c r="AF30" s="27">
        <f>'Proposed CH4 meth.'!AC68</f>
        <v>5608.1325919209212</v>
      </c>
      <c r="AG30" s="27">
        <f>'Proposed CH4 meth.'!AD68</f>
        <v>5704.705729717095</v>
      </c>
      <c r="AH30" s="27">
        <f>'Proposed CH4 meth.'!AE68</f>
        <v>5779.4725648747208</v>
      </c>
      <c r="AI30" s="114">
        <f>'Proposed CH4 meth.'!AF68</f>
        <v>5844.2330383856734</v>
      </c>
    </row>
    <row r="31" spans="2:35" s="2" customFormat="1" ht="15.95" customHeight="1" thickBot="1" x14ac:dyDescent="0.25">
      <c r="B31" s="153"/>
      <c r="C31" s="107"/>
      <c r="D31" s="107"/>
      <c r="E31" s="107"/>
      <c r="F31" s="256"/>
      <c r="G31" s="256"/>
      <c r="H31" s="256"/>
      <c r="I31" s="256"/>
      <c r="J31" s="256"/>
      <c r="K31" s="256"/>
      <c r="L31" s="256"/>
      <c r="M31" s="256"/>
      <c r="N31" s="256"/>
      <c r="O31" s="256"/>
      <c r="P31" s="256"/>
      <c r="Q31" s="256"/>
      <c r="R31" s="256"/>
      <c r="S31" s="256"/>
      <c r="T31" s="256"/>
      <c r="U31" s="256"/>
      <c r="V31" s="256"/>
      <c r="W31" s="256"/>
      <c r="X31" s="256"/>
      <c r="Y31" s="256"/>
      <c r="Z31" s="256"/>
      <c r="AA31" s="256"/>
      <c r="AB31" s="256"/>
      <c r="AC31" s="256"/>
      <c r="AD31" s="256"/>
      <c r="AE31" s="279"/>
      <c r="AF31" s="279"/>
      <c r="AG31" s="279"/>
      <c r="AH31" s="279"/>
      <c r="AI31" s="257"/>
    </row>
    <row r="32" spans="2:35" s="2" customFormat="1" ht="9" customHeight="1" x14ac:dyDescent="0.2">
      <c r="D32" s="20"/>
      <c r="AE32" s="9"/>
    </row>
    <row r="33" spans="6:31" s="2" customFormat="1" ht="12.75" x14ac:dyDescent="0.2">
      <c r="AE33" s="9"/>
    </row>
    <row r="34" spans="6:31" s="2" customFormat="1" ht="12.75" x14ac:dyDescent="0.2">
      <c r="F34" s="20"/>
      <c r="AE34" s="9"/>
    </row>
    <row r="35" spans="6:31" s="2" customFormat="1" ht="12.75" x14ac:dyDescent="0.2">
      <c r="F35" s="77"/>
      <c r="AE35" s="9"/>
    </row>
    <row r="36" spans="6:31" s="2" customFormat="1" ht="12.75" x14ac:dyDescent="0.2">
      <c r="AE36" s="9"/>
    </row>
    <row r="37" spans="6:31" s="2" customFormat="1" ht="12.75" x14ac:dyDescent="0.2">
      <c r="AE37" s="9"/>
    </row>
    <row r="38" spans="6:31" s="2" customFormat="1" ht="12.75" x14ac:dyDescent="0.2">
      <c r="AE38" s="9"/>
    </row>
    <row r="39" spans="6:31" s="2" customFormat="1" ht="12.75" x14ac:dyDescent="0.2">
      <c r="AE39" s="9"/>
    </row>
    <row r="40" spans="6:31" s="2" customFormat="1" ht="12.75" x14ac:dyDescent="0.2">
      <c r="AE40" s="9"/>
    </row>
    <row r="41" spans="6:31" s="2" customFormat="1" ht="12.75" x14ac:dyDescent="0.2">
      <c r="AE41" s="9"/>
    </row>
    <row r="42" spans="6:31" s="2" customFormat="1" ht="12.75" x14ac:dyDescent="0.2">
      <c r="AE42" s="9"/>
    </row>
    <row r="43" spans="6:31" s="2" customFormat="1" ht="12.75" x14ac:dyDescent="0.2">
      <c r="AE43" s="9"/>
    </row>
    <row r="44" spans="6:31" s="2" customFormat="1" ht="12.75" x14ac:dyDescent="0.2">
      <c r="AE44" s="9"/>
    </row>
    <row r="45" spans="6:31" s="2" customFormat="1" ht="12.75" x14ac:dyDescent="0.2">
      <c r="AE45" s="9"/>
    </row>
    <row r="46" spans="6:31" s="2" customFormat="1" ht="12.75" x14ac:dyDescent="0.2">
      <c r="AE46" s="9"/>
    </row>
    <row r="47" spans="6:31" s="2" customFormat="1" ht="12.75" x14ac:dyDescent="0.2">
      <c r="AE47" s="9"/>
    </row>
    <row r="48" spans="6:31" s="2" customFormat="1" ht="12.75" x14ac:dyDescent="0.2">
      <c r="AE48" s="9"/>
    </row>
    <row r="49" spans="2:35" s="2" customFormat="1" ht="12.75" x14ac:dyDescent="0.2">
      <c r="AE49" s="9"/>
    </row>
    <row r="50" spans="2:35" s="2" customFormat="1" ht="13.5" thickBot="1" x14ac:dyDescent="0.25">
      <c r="AE50" s="9"/>
    </row>
    <row r="51" spans="2:35" s="2" customFormat="1" ht="15.95" customHeight="1" thickBot="1" x14ac:dyDescent="0.25">
      <c r="B51" s="269" t="s">
        <v>124</v>
      </c>
      <c r="C51" s="270"/>
      <c r="D51" s="270"/>
      <c r="E51" s="270"/>
      <c r="F51" s="271">
        <v>1990</v>
      </c>
      <c r="G51" s="271">
        <v>1991</v>
      </c>
      <c r="H51" s="271">
        <v>1992</v>
      </c>
      <c r="I51" s="271">
        <v>1993</v>
      </c>
      <c r="J51" s="271">
        <v>1994</v>
      </c>
      <c r="K51" s="271">
        <v>1995</v>
      </c>
      <c r="L51" s="271">
        <v>1996</v>
      </c>
      <c r="M51" s="271">
        <v>1997</v>
      </c>
      <c r="N51" s="271">
        <v>1998</v>
      </c>
      <c r="O51" s="271">
        <v>1999</v>
      </c>
      <c r="P51" s="271">
        <v>2000</v>
      </c>
      <c r="Q51" s="271">
        <v>2001</v>
      </c>
      <c r="R51" s="271">
        <v>2002</v>
      </c>
      <c r="S51" s="271">
        <v>2003</v>
      </c>
      <c r="T51" s="271">
        <v>2004</v>
      </c>
      <c r="U51" s="271">
        <v>2005</v>
      </c>
      <c r="V51" s="271">
        <v>2006</v>
      </c>
      <c r="W51" s="271">
        <v>2007</v>
      </c>
      <c r="X51" s="271">
        <v>2008</v>
      </c>
      <c r="Y51" s="271">
        <v>2009</v>
      </c>
      <c r="Z51" s="271">
        <v>2010</v>
      </c>
      <c r="AA51" s="271">
        <v>2011</v>
      </c>
      <c r="AB51" s="271">
        <v>2012</v>
      </c>
      <c r="AC51" s="271">
        <v>2013</v>
      </c>
      <c r="AD51" s="271">
        <v>2014</v>
      </c>
      <c r="AE51" s="271">
        <v>2015</v>
      </c>
      <c r="AF51" s="271">
        <v>2016</v>
      </c>
      <c r="AG51" s="271">
        <v>2017</v>
      </c>
      <c r="AH51" s="271">
        <v>2018</v>
      </c>
      <c r="AI51" s="272">
        <v>2019</v>
      </c>
    </row>
    <row r="52" spans="2:35" s="2" customFormat="1" ht="12.75" x14ac:dyDescent="0.2">
      <c r="B52" s="266"/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  <c r="V52" s="136"/>
      <c r="W52" s="136"/>
      <c r="X52" s="136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8"/>
    </row>
    <row r="53" spans="2:35" s="2" customFormat="1" ht="12.75" x14ac:dyDescent="0.2">
      <c r="B53" s="143" t="s">
        <v>99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104"/>
    </row>
    <row r="54" spans="2:35" s="2" customFormat="1" ht="12.75" x14ac:dyDescent="0.2">
      <c r="B54" s="143"/>
      <c r="C54" s="9" t="s">
        <v>84</v>
      </c>
      <c r="D54" s="9"/>
      <c r="E54" s="9"/>
      <c r="F54" s="32">
        <f>F30*27</f>
        <v>108500.42476280121</v>
      </c>
      <c r="G54" s="32">
        <f t="shared" ref="G54:AI54" si="0">G30*27</f>
        <v>111061.96077651161</v>
      </c>
      <c r="H54" s="32">
        <f t="shared" si="0"/>
        <v>112694.81694902113</v>
      </c>
      <c r="I54" s="32">
        <f t="shared" si="0"/>
        <v>114061.38335755831</v>
      </c>
      <c r="J54" s="32">
        <f t="shared" si="0"/>
        <v>116093.05313896314</v>
      </c>
      <c r="K54" s="32">
        <f t="shared" si="0"/>
        <v>117447.00405881587</v>
      </c>
      <c r="L54" s="32">
        <f t="shared" si="0"/>
        <v>118475.27322385435</v>
      </c>
      <c r="M54" s="32">
        <f t="shared" si="0"/>
        <v>119239.57712865323</v>
      </c>
      <c r="N54" s="32">
        <f t="shared" si="0"/>
        <v>120190.68811271283</v>
      </c>
      <c r="O54" s="32">
        <f t="shared" si="0"/>
        <v>121161.9369684238</v>
      </c>
      <c r="P54" s="32">
        <f t="shared" si="0"/>
        <v>121999.86391144097</v>
      </c>
      <c r="Q54" s="32">
        <f t="shared" si="0"/>
        <v>123673.6933329873</v>
      </c>
      <c r="R54" s="32">
        <f t="shared" si="0"/>
        <v>125049.12013384537</v>
      </c>
      <c r="S54" s="32">
        <f t="shared" si="0"/>
        <v>126499.04948665971</v>
      </c>
      <c r="T54" s="32">
        <f t="shared" si="0"/>
        <v>127732.80639212036</v>
      </c>
      <c r="U54" s="32">
        <f t="shared" si="0"/>
        <v>128950.93302973339</v>
      </c>
      <c r="V54" s="32">
        <f t="shared" si="0"/>
        <v>130211.27355088815</v>
      </c>
      <c r="W54" s="32">
        <f t="shared" si="0"/>
        <v>131387.39371656254</v>
      </c>
      <c r="X54" s="32">
        <f t="shared" si="0"/>
        <v>133588.29479105474</v>
      </c>
      <c r="Y54" s="32">
        <f t="shared" si="0"/>
        <v>135106.77775959938</v>
      </c>
      <c r="Z54" s="32">
        <f t="shared" si="0"/>
        <v>137016.90215613006</v>
      </c>
      <c r="AA54" s="32">
        <f t="shared" si="0"/>
        <v>138127.40059565508</v>
      </c>
      <c r="AB54" s="32">
        <f t="shared" si="0"/>
        <v>138969.85845226471</v>
      </c>
      <c r="AC54" s="32">
        <f t="shared" si="0"/>
        <v>141848.44866480079</v>
      </c>
      <c r="AD54" s="32">
        <f t="shared" si="0"/>
        <v>145461.67187721448</v>
      </c>
      <c r="AE54" s="32">
        <f t="shared" si="0"/>
        <v>148296.38127535779</v>
      </c>
      <c r="AF54" s="32">
        <f t="shared" si="0"/>
        <v>151419.57998186487</v>
      </c>
      <c r="AG54" s="32">
        <f t="shared" si="0"/>
        <v>154027.05470236155</v>
      </c>
      <c r="AH54" s="32">
        <f t="shared" si="0"/>
        <v>156045.75925161745</v>
      </c>
      <c r="AI54" s="267">
        <f t="shared" si="0"/>
        <v>157794.29203641319</v>
      </c>
    </row>
    <row r="55" spans="2:35" s="2" customFormat="1" ht="12.75" x14ac:dyDescent="0.2">
      <c r="B55" s="143" t="s">
        <v>100</v>
      </c>
      <c r="C55" s="9"/>
      <c r="D55" s="9"/>
      <c r="E55" s="9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267"/>
    </row>
    <row r="56" spans="2:35" s="2" customFormat="1" ht="12.75" x14ac:dyDescent="0.2">
      <c r="B56" s="143"/>
      <c r="C56" s="9" t="s">
        <v>84</v>
      </c>
      <c r="D56" s="9"/>
      <c r="E56" s="9"/>
      <c r="F56" s="27">
        <f>F24*298</f>
        <v>1119583.1398707882</v>
      </c>
      <c r="G56" s="32">
        <f t="shared" ref="G56:AE56" si="1">G24*298</f>
        <v>1109309.752539756</v>
      </c>
      <c r="H56" s="32">
        <f t="shared" si="1"/>
        <v>1088823.2524983464</v>
      </c>
      <c r="I56" s="32">
        <f t="shared" si="1"/>
        <v>1065239.8470871809</v>
      </c>
      <c r="J56" s="32">
        <f t="shared" si="1"/>
        <v>1047235.3555085165</v>
      </c>
      <c r="K56" s="32">
        <f t="shared" si="1"/>
        <v>1024694.5635792955</v>
      </c>
      <c r="L56" s="32">
        <f t="shared" si="1"/>
        <v>994667.18317689782</v>
      </c>
      <c r="M56" s="32">
        <f t="shared" si="1"/>
        <v>967139.6468618724</v>
      </c>
      <c r="N56" s="32">
        <f t="shared" si="1"/>
        <v>940430.15248408436</v>
      </c>
      <c r="O56" s="32">
        <f t="shared" si="1"/>
        <v>912818.50514651986</v>
      </c>
      <c r="P56" s="32">
        <f t="shared" si="1"/>
        <v>886060.25903527462</v>
      </c>
      <c r="Q56" s="32">
        <f t="shared" si="1"/>
        <v>864172.62640120729</v>
      </c>
      <c r="R56" s="32">
        <f t="shared" si="1"/>
        <v>839824.2135461187</v>
      </c>
      <c r="S56" s="32">
        <f t="shared" si="1"/>
        <v>815678.29669374868</v>
      </c>
      <c r="T56" s="32">
        <f t="shared" si="1"/>
        <v>789893.62096242013</v>
      </c>
      <c r="U56" s="32">
        <f t="shared" si="1"/>
        <v>762974.76680132083</v>
      </c>
      <c r="V56" s="32">
        <f t="shared" si="1"/>
        <v>736213.93229666213</v>
      </c>
      <c r="W56" s="32">
        <f t="shared" si="1"/>
        <v>709751.47730518889</v>
      </c>
      <c r="X56" s="32">
        <f t="shared" si="1"/>
        <v>685949.7466825709</v>
      </c>
      <c r="Y56" s="32">
        <f t="shared" si="1"/>
        <v>661636.15022211592</v>
      </c>
      <c r="Z56" s="32">
        <f t="shared" si="1"/>
        <v>635310.38671308034</v>
      </c>
      <c r="AA56" s="32">
        <f t="shared" si="1"/>
        <v>626830.23448881821</v>
      </c>
      <c r="AB56" s="32">
        <f t="shared" si="1"/>
        <v>620521.0564994876</v>
      </c>
      <c r="AC56" s="32">
        <f t="shared" si="1"/>
        <v>614602.79239703051</v>
      </c>
      <c r="AD56" s="32">
        <f t="shared" si="1"/>
        <v>609120.58321622608</v>
      </c>
      <c r="AE56" s="32">
        <f t="shared" si="1"/>
        <v>602949.1190516816</v>
      </c>
      <c r="AF56" s="32">
        <f t="shared" ref="AF56:AI56" si="2">AF24*298</f>
        <v>596482.48899598815</v>
      </c>
      <c r="AG56" s="32">
        <f t="shared" si="2"/>
        <v>589037.75821802649</v>
      </c>
      <c r="AH56" s="32">
        <f t="shared" si="2"/>
        <v>580333.79369717499</v>
      </c>
      <c r="AI56" s="267">
        <f t="shared" si="2"/>
        <v>571518.14318847342</v>
      </c>
    </row>
    <row r="57" spans="2:35" s="2" customFormat="1" ht="13.5" thickBot="1" x14ac:dyDescent="0.25">
      <c r="B57" s="153"/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7"/>
      <c r="AH57" s="107"/>
      <c r="AI57" s="109"/>
    </row>
    <row r="58" spans="2:35" s="2" customFormat="1" ht="12.75" x14ac:dyDescent="0.2"/>
    <row r="59" spans="2:35" s="2" customFormat="1" ht="12.75" x14ac:dyDescent="0.2"/>
    <row r="60" spans="2:35" s="2" customFormat="1" ht="12.75" x14ac:dyDescent="0.2">
      <c r="R60" s="2" t="s">
        <v>102</v>
      </c>
    </row>
    <row r="61" spans="2:35" s="2" customFormat="1" ht="12.75" x14ac:dyDescent="0.2"/>
    <row r="62" spans="2:35" s="2" customFormat="1" ht="12.75" x14ac:dyDescent="0.2">
      <c r="R62" s="16"/>
      <c r="S62" s="7"/>
      <c r="T62" s="7"/>
      <c r="U62" s="7"/>
      <c r="V62" s="7"/>
      <c r="W62" s="8"/>
    </row>
    <row r="63" spans="2:35" s="2" customFormat="1" ht="12.75" x14ac:dyDescent="0.2">
      <c r="R63" s="3" t="s">
        <v>103</v>
      </c>
      <c r="S63" s="277" t="s">
        <v>104</v>
      </c>
      <c r="T63" s="9"/>
      <c r="U63" s="9"/>
      <c r="V63" s="9"/>
      <c r="W63" s="4"/>
    </row>
    <row r="64" spans="2:35" s="2" customFormat="1" ht="12.75" x14ac:dyDescent="0.2">
      <c r="R64" s="3"/>
      <c r="S64" s="9" t="s">
        <v>105</v>
      </c>
      <c r="T64" s="9"/>
      <c r="U64" s="9"/>
      <c r="V64" s="9"/>
      <c r="W64" s="4"/>
    </row>
    <row r="65" spans="2:23" s="2" customFormat="1" ht="12.75" x14ac:dyDescent="0.2">
      <c r="R65" s="3"/>
      <c r="S65" s="278" t="s">
        <v>106</v>
      </c>
      <c r="T65" s="9"/>
      <c r="U65" s="9"/>
      <c r="V65" s="9"/>
      <c r="W65" s="4"/>
    </row>
    <row r="66" spans="2:23" s="2" customFormat="1" ht="12.75" x14ac:dyDescent="0.2">
      <c r="R66" s="5"/>
      <c r="S66" s="14"/>
      <c r="T66" s="14"/>
      <c r="U66" s="14"/>
      <c r="V66" s="14"/>
      <c r="W66" s="6"/>
    </row>
    <row r="67" spans="2:23" s="2" customFormat="1" ht="12.75" x14ac:dyDescent="0.2"/>
    <row r="68" spans="2:23" s="2" customFormat="1" ht="12.75" x14ac:dyDescent="0.2">
      <c r="R68" s="344" t="s">
        <v>134</v>
      </c>
      <c r="S68" s="344"/>
      <c r="T68" s="344"/>
      <c r="U68" s="344"/>
    </row>
    <row r="69" spans="2:23" s="2" customFormat="1" ht="12.75" x14ac:dyDescent="0.2">
      <c r="R69" s="344"/>
      <c r="S69" s="344"/>
      <c r="T69" s="344"/>
      <c r="U69" s="344"/>
    </row>
    <row r="70" spans="2:23" s="2" customFormat="1" ht="12.75" x14ac:dyDescent="0.2"/>
    <row r="71" spans="2:23" s="2" customFormat="1" ht="12.75" x14ac:dyDescent="0.2"/>
    <row r="72" spans="2:23" s="2" customFormat="1" ht="12.75" x14ac:dyDescent="0.2"/>
    <row r="73" spans="2:23" s="2" customFormat="1" ht="12.75" x14ac:dyDescent="0.2"/>
    <row r="74" spans="2:23" s="2" customFormat="1" ht="12.75" x14ac:dyDescent="0.2"/>
    <row r="75" spans="2:23" s="2" customFormat="1" ht="12.75" x14ac:dyDescent="0.2"/>
    <row r="76" spans="2:23" s="2" customFormat="1" ht="12.75" x14ac:dyDescent="0.2"/>
    <row r="77" spans="2:23" s="2" customFormat="1" ht="12.75" x14ac:dyDescent="0.2"/>
    <row r="78" spans="2:23" s="2" customFormat="1" ht="13.5" thickBot="1" x14ac:dyDescent="0.25"/>
    <row r="79" spans="2:23" s="2" customFormat="1" ht="15.95" customHeight="1" thickBot="1" x14ac:dyDescent="0.25">
      <c r="B79" s="309" t="s">
        <v>114</v>
      </c>
      <c r="C79" s="310"/>
      <c r="D79" s="310"/>
      <c r="E79" s="310"/>
      <c r="F79" s="310"/>
      <c r="G79" s="310"/>
      <c r="H79" s="310"/>
      <c r="I79" s="310"/>
      <c r="J79" s="310"/>
      <c r="K79" s="310"/>
      <c r="L79" s="310"/>
      <c r="M79" s="310"/>
      <c r="N79" s="310"/>
      <c r="O79" s="310"/>
      <c r="P79" s="311"/>
    </row>
    <row r="80" spans="2:23" s="2" customFormat="1" ht="12.75" x14ac:dyDescent="0.2">
      <c r="B80" s="145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104"/>
    </row>
    <row r="81" spans="2:16" s="2" customFormat="1" ht="12.75" x14ac:dyDescent="0.2">
      <c r="B81" s="145"/>
      <c r="C81" s="9" t="s">
        <v>115</v>
      </c>
      <c r="D81" s="9"/>
      <c r="E81" s="9" t="s">
        <v>148</v>
      </c>
      <c r="F81" s="9" t="s">
        <v>147</v>
      </c>
      <c r="G81" s="9" t="s">
        <v>128</v>
      </c>
      <c r="H81" s="9"/>
      <c r="I81" s="9"/>
      <c r="J81" s="9" t="s">
        <v>116</v>
      </c>
      <c r="K81" s="9"/>
      <c r="L81" s="9"/>
      <c r="M81" s="9" t="s">
        <v>148</v>
      </c>
      <c r="N81" s="9" t="s">
        <v>128</v>
      </c>
      <c r="O81" s="9"/>
      <c r="P81" s="104"/>
    </row>
    <row r="82" spans="2:16" s="2" customFormat="1" ht="15.75" x14ac:dyDescent="0.3">
      <c r="B82" s="145"/>
      <c r="C82" s="9" t="s">
        <v>154</v>
      </c>
      <c r="D82" s="9"/>
      <c r="E82" s="29">
        <f>'N2O 2006 IPCC GL'!AF54/1000</f>
        <v>26.837184000000001</v>
      </c>
      <c r="F82" s="305">
        <f>'N2O 2019 IPCC GL'!$AF$61/1000</f>
        <v>1360.3287405714289</v>
      </c>
      <c r="G82" s="306">
        <f>'Proposed N2O meth.'!AF50/1000</f>
        <v>1754.5817244081632</v>
      </c>
      <c r="H82" s="9" t="s">
        <v>129</v>
      </c>
      <c r="I82" s="9"/>
      <c r="J82" s="9" t="s">
        <v>168</v>
      </c>
      <c r="K82" s="9"/>
      <c r="L82" s="9"/>
      <c r="N82" s="196">
        <f>'Proposed CH4 meth.'!AF53</f>
        <v>1184.0317124999999</v>
      </c>
      <c r="O82" s="9" t="s">
        <v>130</v>
      </c>
      <c r="P82" s="104"/>
    </row>
    <row r="83" spans="2:16" s="2" customFormat="1" ht="15.75" x14ac:dyDescent="0.3">
      <c r="B83" s="145"/>
      <c r="C83" s="9"/>
      <c r="D83" s="9"/>
      <c r="E83" s="9"/>
      <c r="F83" s="29"/>
      <c r="G83" s="306"/>
      <c r="H83" s="9"/>
      <c r="I83" s="9"/>
      <c r="J83" s="9" t="s">
        <v>154</v>
      </c>
      <c r="K83" s="9"/>
      <c r="L83" s="9"/>
      <c r="M83" s="25">
        <f>'CH4 2006 IPCC GL'!AF63</f>
        <v>6852.0788437499996</v>
      </c>
      <c r="N83" s="29">
        <f>'Proposed CH4 meth.'!AF55</f>
        <v>4280.7300375000004</v>
      </c>
      <c r="O83" s="9" t="s">
        <v>130</v>
      </c>
      <c r="P83" s="104"/>
    </row>
    <row r="84" spans="2:16" s="2" customFormat="1" ht="15.75" x14ac:dyDescent="0.3">
      <c r="B84" s="145"/>
      <c r="C84" s="9" t="s">
        <v>155</v>
      </c>
      <c r="D84" s="9"/>
      <c r="E84" s="29">
        <f>'N2O 2006 IPCC GL'!AF56/1000</f>
        <v>200.16680896000003</v>
      </c>
      <c r="F84" s="305">
        <f>'N2O 2019 IPCC GL'!$AF$64/1000</f>
        <v>127.8693965826514</v>
      </c>
      <c r="G84" s="29">
        <f>'Proposed N2O meth.'!AG52/1000</f>
        <v>156.15410920515103</v>
      </c>
      <c r="H84" s="9" t="s">
        <v>129</v>
      </c>
      <c r="I84" s="9"/>
      <c r="J84" s="9" t="s">
        <v>169</v>
      </c>
      <c r="K84" s="9"/>
      <c r="L84" s="9"/>
      <c r="M84" s="42">
        <f>'CH4 2006 IPCC GL'!C77</f>
        <v>191.63710446274405</v>
      </c>
      <c r="N84" s="42">
        <f>'Proposed CH4 meth.'!AF65</f>
        <v>379.47128838567346</v>
      </c>
      <c r="O84" s="9" t="s">
        <v>130</v>
      </c>
      <c r="P84" s="104"/>
    </row>
    <row r="85" spans="2:16" s="2" customFormat="1" ht="12.75" x14ac:dyDescent="0.2">
      <c r="B85" s="145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104"/>
    </row>
    <row r="86" spans="2:16" s="2" customFormat="1" ht="13.5" thickBot="1" x14ac:dyDescent="0.25">
      <c r="B86" s="153"/>
      <c r="C86" s="107"/>
      <c r="D86" s="107"/>
      <c r="E86" s="107"/>
      <c r="F86" s="307"/>
      <c r="G86" s="107"/>
      <c r="H86" s="107"/>
      <c r="I86" s="107"/>
      <c r="J86" s="107"/>
      <c r="K86" s="107"/>
      <c r="L86" s="107"/>
      <c r="M86" s="308"/>
      <c r="N86" s="107"/>
      <c r="O86" s="107"/>
      <c r="P86" s="109"/>
    </row>
    <row r="87" spans="2:16" s="2" customFormat="1" ht="12.75" x14ac:dyDescent="0.2"/>
    <row r="88" spans="2:16" s="2" customFormat="1" ht="12.75" x14ac:dyDescent="0.2"/>
    <row r="89" spans="2:16" s="2" customFormat="1" ht="12.75" x14ac:dyDescent="0.2"/>
    <row r="90" spans="2:16" s="2" customFormat="1" ht="12.75" x14ac:dyDescent="0.2"/>
    <row r="91" spans="2:16" s="2" customFormat="1" ht="12.75" x14ac:dyDescent="0.2"/>
    <row r="92" spans="2:16" s="2" customFormat="1" ht="12.75" x14ac:dyDescent="0.2"/>
    <row r="93" spans="2:16" s="2" customFormat="1" ht="12.75" x14ac:dyDescent="0.2"/>
    <row r="94" spans="2:16" s="2" customFormat="1" ht="12.75" x14ac:dyDescent="0.2"/>
    <row r="95" spans="2:16" s="2" customFormat="1" ht="12.75" x14ac:dyDescent="0.2"/>
    <row r="96" spans="2:16" s="2" customFormat="1" ht="12.75" x14ac:dyDescent="0.2"/>
    <row r="97" s="2" customFormat="1" ht="12.75" x14ac:dyDescent="0.2"/>
    <row r="98" s="2" customFormat="1" ht="12.75" x14ac:dyDescent="0.2"/>
    <row r="99" s="2" customFormat="1" ht="12.75" x14ac:dyDescent="0.2"/>
    <row r="100" s="2" customFormat="1" ht="12.75" x14ac:dyDescent="0.2"/>
    <row r="101" s="2" customFormat="1" ht="12.75" x14ac:dyDescent="0.2"/>
    <row r="102" s="2" customFormat="1" ht="12.75" x14ac:dyDescent="0.2"/>
    <row r="103" s="2" customFormat="1" ht="12.75" x14ac:dyDescent="0.2"/>
    <row r="104" s="2" customFormat="1" ht="12.75" x14ac:dyDescent="0.2"/>
  </sheetData>
  <mergeCells count="10">
    <mergeCell ref="R68:U69"/>
    <mergeCell ref="B19:E19"/>
    <mergeCell ref="C20:E20"/>
    <mergeCell ref="C30:E30"/>
    <mergeCell ref="B29:E29"/>
    <mergeCell ref="B21:E21"/>
    <mergeCell ref="C22:E22"/>
    <mergeCell ref="B27:E27"/>
    <mergeCell ref="C28:E28"/>
    <mergeCell ref="C24:E24"/>
  </mergeCells>
  <hyperlinks>
    <hyperlink ref="C7" location="Overview!A1" display="Overview"/>
    <hyperlink ref="C10" location="'Proposed N2O meth.'!A1" display="Proposed N2O meth."/>
    <hyperlink ref="C12" location="'CH4 2006 IPCC GL'!A1" display="CH4 2006 IPCC GL"/>
    <hyperlink ref="C13" location="'Proposed CH4 meth.'!A1" display="Proposed CH4 meth."/>
    <hyperlink ref="C8" r:id="rId1" location="'N2O 2006 IPCC GL'!A1"/>
    <hyperlink ref="C9" r:id="rId2" location="'N2O 2019 IPCC GL'!A1"/>
  </hyperlinks>
  <pageMargins left="0.7" right="0.7" top="0.75" bottom="0.75" header="0.3" footer="0.3"/>
  <pageSetup paperSize="8" scale="73" fitToHeight="0" orientation="landscape" horizontalDpi="1200" verticalDpi="1200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3"/>
  <sheetViews>
    <sheetView zoomScale="80" zoomScaleNormal="80" workbookViewId="0">
      <pane xSplit="1" ySplit="2" topLeftCell="B18" activePane="bottomRight" state="frozen"/>
      <selection pane="topRight" activeCell="B1" sqref="B1"/>
      <selection pane="bottomLeft" activeCell="A3" sqref="A3"/>
      <selection pane="bottomRight" activeCell="C54" sqref="C54"/>
    </sheetView>
  </sheetViews>
  <sheetFormatPr defaultColWidth="9.140625" defaultRowHeight="12.75" x14ac:dyDescent="0.2"/>
  <cols>
    <col min="1" max="1" width="4.7109375" style="2" customWidth="1"/>
    <col min="2" max="2" width="35.42578125" style="2" customWidth="1"/>
    <col min="3" max="3" width="11.28515625" style="2" customWidth="1"/>
    <col min="4" max="27" width="10.7109375" style="2" customWidth="1"/>
    <col min="28" max="28" width="11.5703125" style="2" customWidth="1"/>
    <col min="29" max="29" width="10.7109375" style="2" customWidth="1"/>
    <col min="30" max="32" width="11.85546875" style="2" customWidth="1"/>
    <col min="33" max="16384" width="9.140625" style="2"/>
  </cols>
  <sheetData>
    <row r="1" spans="2:32" ht="13.5" thickBot="1" x14ac:dyDescent="0.25"/>
    <row r="2" spans="2:32" ht="23.25" customHeight="1" thickBot="1" x14ac:dyDescent="0.25">
      <c r="B2" s="121"/>
      <c r="C2" s="122">
        <v>1990</v>
      </c>
      <c r="D2" s="122">
        <v>1991</v>
      </c>
      <c r="E2" s="122">
        <v>1992</v>
      </c>
      <c r="F2" s="122">
        <v>1993</v>
      </c>
      <c r="G2" s="122">
        <v>1994</v>
      </c>
      <c r="H2" s="122">
        <v>1995</v>
      </c>
      <c r="I2" s="122">
        <v>1996</v>
      </c>
      <c r="J2" s="122">
        <v>1997</v>
      </c>
      <c r="K2" s="122">
        <v>1998</v>
      </c>
      <c r="L2" s="122">
        <v>1999</v>
      </c>
      <c r="M2" s="122">
        <v>2000</v>
      </c>
      <c r="N2" s="122">
        <v>2001</v>
      </c>
      <c r="O2" s="122">
        <v>2002</v>
      </c>
      <c r="P2" s="122">
        <v>2003</v>
      </c>
      <c r="Q2" s="122">
        <v>2004</v>
      </c>
      <c r="R2" s="122">
        <v>2005</v>
      </c>
      <c r="S2" s="122">
        <v>2006</v>
      </c>
      <c r="T2" s="122">
        <v>2007</v>
      </c>
      <c r="U2" s="122">
        <v>2008</v>
      </c>
      <c r="V2" s="122">
        <v>2009</v>
      </c>
      <c r="W2" s="122">
        <v>2010</v>
      </c>
      <c r="X2" s="122">
        <v>2011</v>
      </c>
      <c r="Y2" s="122">
        <v>2012</v>
      </c>
      <c r="Z2" s="122">
        <v>2013</v>
      </c>
      <c r="AA2" s="122">
        <v>2014</v>
      </c>
      <c r="AB2" s="122">
        <v>2015</v>
      </c>
      <c r="AC2" s="122">
        <v>2016</v>
      </c>
      <c r="AD2" s="122">
        <v>2017</v>
      </c>
      <c r="AE2" s="122">
        <v>2018</v>
      </c>
      <c r="AF2" s="123">
        <v>2019</v>
      </c>
    </row>
    <row r="3" spans="2:32" ht="19.5" customHeight="1" x14ac:dyDescent="0.2">
      <c r="B3" s="168" t="s">
        <v>75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70"/>
    </row>
    <row r="4" spans="2:32" x14ac:dyDescent="0.2">
      <c r="B4" s="103" t="s">
        <v>8</v>
      </c>
      <c r="C4" s="3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104"/>
    </row>
    <row r="5" spans="2:32" x14ac:dyDescent="0.2">
      <c r="B5" s="99" t="s">
        <v>9</v>
      </c>
      <c r="C5" s="41">
        <v>6796000</v>
      </c>
      <c r="D5" s="42">
        <v>6880000</v>
      </c>
      <c r="E5" s="42">
        <v>6943000</v>
      </c>
      <c r="F5" s="42">
        <v>6989000</v>
      </c>
      <c r="G5" s="42">
        <v>7037000</v>
      </c>
      <c r="H5" s="42">
        <v>7081000</v>
      </c>
      <c r="I5" s="42">
        <v>7105000</v>
      </c>
      <c r="J5" s="42">
        <v>7113000</v>
      </c>
      <c r="K5" s="42">
        <v>7132000</v>
      </c>
      <c r="L5" s="42">
        <v>7167000</v>
      </c>
      <c r="M5" s="42">
        <v>7209000</v>
      </c>
      <c r="N5" s="42">
        <v>7285000</v>
      </c>
      <c r="O5" s="42">
        <v>7343000</v>
      </c>
      <c r="P5" s="42">
        <v>7405000</v>
      </c>
      <c r="Q5" s="42">
        <v>7454000</v>
      </c>
      <c r="R5" s="42">
        <v>7501000</v>
      </c>
      <c r="S5" s="42">
        <v>7558000</v>
      </c>
      <c r="T5" s="42">
        <v>7619000</v>
      </c>
      <c r="U5" s="42">
        <v>7711000</v>
      </c>
      <c r="V5" s="42">
        <v>7801000</v>
      </c>
      <c r="W5" s="42">
        <v>7878000</v>
      </c>
      <c r="X5" s="42">
        <v>7912000</v>
      </c>
      <c r="Y5" s="42">
        <v>7997000</v>
      </c>
      <c r="Z5" s="42">
        <v>8089000</v>
      </c>
      <c r="AA5" s="42">
        <v>8189000</v>
      </c>
      <c r="AB5" s="42">
        <v>8282000</v>
      </c>
      <c r="AC5" s="42">
        <v>8373000</v>
      </c>
      <c r="AD5" s="42">
        <v>8464000</v>
      </c>
      <c r="AE5" s="42">
        <v>8555000</v>
      </c>
      <c r="AF5" s="110">
        <v>8646000</v>
      </c>
    </row>
    <row r="6" spans="2:32" x14ac:dyDescent="0.2">
      <c r="B6" s="115" t="s">
        <v>156</v>
      </c>
      <c r="C6" s="3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104"/>
    </row>
    <row r="7" spans="2:32" x14ac:dyDescent="0.2">
      <c r="B7" s="97" t="s">
        <v>11</v>
      </c>
      <c r="C7" s="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101"/>
    </row>
    <row r="8" spans="2:32" x14ac:dyDescent="0.2">
      <c r="B8" s="99" t="s">
        <v>12</v>
      </c>
      <c r="C8" s="17">
        <v>0.9</v>
      </c>
      <c r="D8" s="11">
        <v>0.91</v>
      </c>
      <c r="E8" s="11">
        <v>0.91500000000000004</v>
      </c>
      <c r="F8" s="11">
        <v>0.92</v>
      </c>
      <c r="G8" s="11">
        <v>0.93</v>
      </c>
      <c r="H8" s="11">
        <v>0.93500000000000005</v>
      </c>
      <c r="I8" s="11">
        <v>0.94</v>
      </c>
      <c r="J8" s="11">
        <v>0.94499999999999995</v>
      </c>
      <c r="K8" s="11">
        <v>0.95</v>
      </c>
      <c r="L8" s="11">
        <v>0.95299999999999996</v>
      </c>
      <c r="M8" s="11">
        <v>0.95400000000000007</v>
      </c>
      <c r="N8" s="11">
        <v>0.95700000000000007</v>
      </c>
      <c r="O8" s="11">
        <v>0.96</v>
      </c>
      <c r="P8" s="11">
        <v>0.96299999999999997</v>
      </c>
      <c r="Q8" s="11">
        <v>0.96599999999999997</v>
      </c>
      <c r="R8" s="11">
        <v>0.96799999999999997</v>
      </c>
      <c r="S8" s="11">
        <v>0.97</v>
      </c>
      <c r="T8" s="11">
        <v>0.97</v>
      </c>
      <c r="U8" s="11">
        <v>0.97</v>
      </c>
      <c r="V8" s="11">
        <v>0.97</v>
      </c>
      <c r="W8" s="11">
        <v>0.97</v>
      </c>
      <c r="X8" s="11">
        <v>0.97</v>
      </c>
      <c r="Y8" s="11">
        <v>0.97</v>
      </c>
      <c r="Z8" s="11">
        <v>0.97</v>
      </c>
      <c r="AA8" s="11">
        <v>0.97</v>
      </c>
      <c r="AB8" s="11">
        <v>0.97</v>
      </c>
      <c r="AC8" s="11">
        <v>0.97</v>
      </c>
      <c r="AD8" s="11">
        <v>0.97</v>
      </c>
      <c r="AE8" s="11">
        <v>0.97</v>
      </c>
      <c r="AF8" s="112">
        <v>0.97</v>
      </c>
    </row>
    <row r="9" spans="2:32" x14ac:dyDescent="0.2">
      <c r="B9" s="157" t="s">
        <v>161</v>
      </c>
      <c r="C9" s="23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5"/>
    </row>
    <row r="10" spans="2:32" ht="15" x14ac:dyDescent="0.25">
      <c r="B10" s="103" t="s">
        <v>14</v>
      </c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4"/>
      <c r="U10" s="284"/>
      <c r="V10" s="284"/>
      <c r="W10" s="284"/>
      <c r="X10" s="284"/>
      <c r="Y10" s="284"/>
      <c r="Z10" s="284"/>
      <c r="AA10" s="12"/>
      <c r="AB10" s="12"/>
      <c r="AC10" s="12"/>
      <c r="AD10" s="12"/>
      <c r="AE10" s="12"/>
      <c r="AF10" s="118"/>
    </row>
    <row r="11" spans="2:32" x14ac:dyDescent="0.2">
      <c r="B11" s="103" t="s">
        <v>131</v>
      </c>
      <c r="C11" s="18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18"/>
    </row>
    <row r="12" spans="2:32" x14ac:dyDescent="0.2">
      <c r="B12" s="99" t="s">
        <v>15</v>
      </c>
      <c r="C12" s="18">
        <v>1</v>
      </c>
      <c r="D12" s="12">
        <v>1</v>
      </c>
      <c r="E12" s="12">
        <v>1</v>
      </c>
      <c r="F12" s="12">
        <v>1</v>
      </c>
      <c r="G12" s="12">
        <v>1</v>
      </c>
      <c r="H12" s="12">
        <v>1</v>
      </c>
      <c r="I12" s="12">
        <v>1</v>
      </c>
      <c r="J12" s="12">
        <v>1</v>
      </c>
      <c r="K12" s="12">
        <v>1</v>
      </c>
      <c r="L12" s="12">
        <v>1</v>
      </c>
      <c r="M12" s="12">
        <v>1</v>
      </c>
      <c r="N12" s="12">
        <v>1</v>
      </c>
      <c r="O12" s="12">
        <v>1</v>
      </c>
      <c r="P12" s="12">
        <v>1</v>
      </c>
      <c r="Q12" s="12">
        <v>1</v>
      </c>
      <c r="R12" s="12">
        <v>1</v>
      </c>
      <c r="S12" s="12">
        <v>1</v>
      </c>
      <c r="T12" s="12">
        <v>1</v>
      </c>
      <c r="U12" s="12">
        <v>1</v>
      </c>
      <c r="V12" s="12">
        <v>1</v>
      </c>
      <c r="W12" s="12">
        <v>1</v>
      </c>
      <c r="X12" s="12">
        <v>1</v>
      </c>
      <c r="Y12" s="12">
        <v>1</v>
      </c>
      <c r="Z12" s="12">
        <v>1</v>
      </c>
      <c r="AA12" s="12">
        <v>1</v>
      </c>
      <c r="AB12" s="12">
        <v>1</v>
      </c>
      <c r="AC12" s="12">
        <v>1</v>
      </c>
      <c r="AD12" s="12">
        <v>1</v>
      </c>
      <c r="AE12" s="12">
        <v>1</v>
      </c>
      <c r="AF12" s="118">
        <v>1</v>
      </c>
    </row>
    <row r="13" spans="2:32" x14ac:dyDescent="0.2">
      <c r="B13" s="111" t="s">
        <v>16</v>
      </c>
      <c r="C13" s="3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104"/>
    </row>
    <row r="14" spans="2:32" x14ac:dyDescent="0.2">
      <c r="B14" s="97" t="s">
        <v>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101"/>
    </row>
    <row r="15" spans="2:32" x14ac:dyDescent="0.2">
      <c r="B15" s="99" t="s">
        <v>4</v>
      </c>
      <c r="C15" s="27">
        <v>259211</v>
      </c>
      <c r="D15" s="27">
        <v>263586</v>
      </c>
      <c r="E15" s="27">
        <v>265773</v>
      </c>
      <c r="F15" s="27">
        <v>261399</v>
      </c>
      <c r="G15" s="27">
        <v>263586</v>
      </c>
      <c r="H15" s="27">
        <v>262492</v>
      </c>
      <c r="I15" s="27">
        <v>261399</v>
      </c>
      <c r="J15" s="27">
        <v>262492</v>
      </c>
      <c r="K15" s="27">
        <v>263586</v>
      </c>
      <c r="L15" s="27">
        <v>261399</v>
      </c>
      <c r="M15" s="27">
        <v>267961</v>
      </c>
      <c r="N15" s="27">
        <v>263586</v>
      </c>
      <c r="O15" s="27">
        <v>263586</v>
      </c>
      <c r="P15" s="27">
        <v>270148</v>
      </c>
      <c r="Q15" s="27">
        <v>273429</v>
      </c>
      <c r="R15" s="27">
        <v>272336</v>
      </c>
      <c r="S15" s="27">
        <v>279992</v>
      </c>
      <c r="T15" s="27">
        <v>283000</v>
      </c>
      <c r="U15" s="27">
        <v>291000</v>
      </c>
      <c r="V15" s="27">
        <v>293000</v>
      </c>
      <c r="W15" s="27">
        <v>299000</v>
      </c>
      <c r="X15" s="27">
        <v>306000</v>
      </c>
      <c r="Y15" s="27">
        <v>294000</v>
      </c>
      <c r="Z15" s="27">
        <v>300000</v>
      </c>
      <c r="AA15" s="27">
        <v>300000</v>
      </c>
      <c r="AB15" s="27">
        <v>309000</v>
      </c>
      <c r="AC15" s="27">
        <v>303000</v>
      </c>
      <c r="AD15" s="27">
        <v>303000</v>
      </c>
      <c r="AE15" s="27">
        <v>305223</v>
      </c>
      <c r="AF15" s="114">
        <v>307409</v>
      </c>
    </row>
    <row r="16" spans="2:32" x14ac:dyDescent="0.2">
      <c r="B16" s="111" t="s">
        <v>121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104"/>
    </row>
    <row r="17" spans="2:32" x14ac:dyDescent="0.2">
      <c r="B17" s="115" t="s">
        <v>160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16"/>
    </row>
    <row r="18" spans="2:32" x14ac:dyDescent="0.2">
      <c r="B18" s="103" t="s">
        <v>2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104"/>
    </row>
    <row r="19" spans="2:32" x14ac:dyDescent="0.2">
      <c r="B19" s="99" t="s">
        <v>3</v>
      </c>
      <c r="C19" s="9">
        <v>0.16</v>
      </c>
      <c r="D19" s="9">
        <v>0.16</v>
      </c>
      <c r="E19" s="9">
        <v>0.16</v>
      </c>
      <c r="F19" s="9">
        <v>0.16</v>
      </c>
      <c r="G19" s="9">
        <v>0.16</v>
      </c>
      <c r="H19" s="9">
        <v>0.16</v>
      </c>
      <c r="I19" s="9">
        <v>0.16</v>
      </c>
      <c r="J19" s="9">
        <v>0.16</v>
      </c>
      <c r="K19" s="9">
        <v>0.16</v>
      </c>
      <c r="L19" s="9">
        <v>0.16</v>
      </c>
      <c r="M19" s="9">
        <v>0.16</v>
      </c>
      <c r="N19" s="9">
        <v>0.16</v>
      </c>
      <c r="O19" s="9">
        <v>0.16</v>
      </c>
      <c r="P19" s="9">
        <v>0.16</v>
      </c>
      <c r="Q19" s="9">
        <v>0.16</v>
      </c>
      <c r="R19" s="9">
        <v>0.16</v>
      </c>
      <c r="S19" s="9">
        <v>0.16</v>
      </c>
      <c r="T19" s="9">
        <v>0.16</v>
      </c>
      <c r="U19" s="9">
        <v>0.16</v>
      </c>
      <c r="V19" s="9">
        <v>0.16</v>
      </c>
      <c r="W19" s="9">
        <v>0.16</v>
      </c>
      <c r="X19" s="9">
        <v>0.16</v>
      </c>
      <c r="Y19" s="9">
        <v>0.16</v>
      </c>
      <c r="Z19" s="9">
        <v>0.16</v>
      </c>
      <c r="AA19" s="9">
        <v>0.16</v>
      </c>
      <c r="AB19" s="9">
        <v>0.16</v>
      </c>
      <c r="AC19" s="9">
        <v>0.16</v>
      </c>
      <c r="AD19" s="9">
        <v>0.16</v>
      </c>
      <c r="AE19" s="9">
        <v>0.16</v>
      </c>
      <c r="AF19" s="104">
        <v>0.16</v>
      </c>
    </row>
    <row r="20" spans="2:32" x14ac:dyDescent="0.2">
      <c r="B20" s="111" t="s">
        <v>125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104"/>
    </row>
    <row r="21" spans="2:32" x14ac:dyDescent="0.2">
      <c r="B21" s="97" t="s">
        <v>18</v>
      </c>
      <c r="C21" s="7"/>
      <c r="D21" s="7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7"/>
      <c r="X21" s="7"/>
      <c r="Y21" s="7"/>
      <c r="Z21" s="7"/>
      <c r="AA21" s="7"/>
      <c r="AB21" s="7"/>
      <c r="AC21" s="7"/>
      <c r="AD21" s="7"/>
      <c r="AE21" s="7"/>
      <c r="AF21" s="101"/>
    </row>
    <row r="22" spans="2:32" x14ac:dyDescent="0.2">
      <c r="B22" s="99" t="s">
        <v>15</v>
      </c>
      <c r="C22" s="9">
        <v>1</v>
      </c>
      <c r="D22" s="9">
        <v>1</v>
      </c>
      <c r="E22" s="22">
        <v>1</v>
      </c>
      <c r="F22" s="22">
        <v>1</v>
      </c>
      <c r="G22" s="22">
        <v>1</v>
      </c>
      <c r="H22" s="22">
        <v>1</v>
      </c>
      <c r="I22" s="22">
        <v>1</v>
      </c>
      <c r="J22" s="22">
        <v>1</v>
      </c>
      <c r="K22" s="22">
        <v>1</v>
      </c>
      <c r="L22" s="22">
        <v>1</v>
      </c>
      <c r="M22" s="22">
        <v>1</v>
      </c>
      <c r="N22" s="22">
        <v>1</v>
      </c>
      <c r="O22" s="22">
        <v>1</v>
      </c>
      <c r="P22" s="22">
        <v>1</v>
      </c>
      <c r="Q22" s="22">
        <v>1</v>
      </c>
      <c r="R22" s="22">
        <v>1</v>
      </c>
      <c r="S22" s="22">
        <v>1</v>
      </c>
      <c r="T22" s="22">
        <v>1</v>
      </c>
      <c r="U22" s="22">
        <v>1</v>
      </c>
      <c r="V22" s="22">
        <v>1</v>
      </c>
      <c r="W22" s="22">
        <v>1</v>
      </c>
      <c r="X22" s="9">
        <v>1</v>
      </c>
      <c r="Y22" s="9">
        <v>1</v>
      </c>
      <c r="Z22" s="9">
        <v>1</v>
      </c>
      <c r="AA22" s="9">
        <v>1</v>
      </c>
      <c r="AB22" s="9">
        <v>1</v>
      </c>
      <c r="AC22" s="9">
        <v>1</v>
      </c>
      <c r="AD22" s="9">
        <v>1</v>
      </c>
      <c r="AE22" s="9">
        <v>1</v>
      </c>
      <c r="AF22" s="104">
        <v>1</v>
      </c>
    </row>
    <row r="23" spans="2:32" x14ac:dyDescent="0.2">
      <c r="B23" s="115" t="s">
        <v>16</v>
      </c>
      <c r="C23" s="14"/>
      <c r="D23" s="14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14"/>
      <c r="Y23" s="14"/>
      <c r="Z23" s="14"/>
      <c r="AA23" s="14"/>
      <c r="AB23" s="14"/>
      <c r="AC23" s="14"/>
      <c r="AD23" s="14"/>
      <c r="AE23" s="14"/>
      <c r="AF23" s="116"/>
    </row>
    <row r="24" spans="2:32" x14ac:dyDescent="0.2">
      <c r="B24" s="97" t="s">
        <v>14</v>
      </c>
      <c r="C24" s="81"/>
      <c r="D24" s="81"/>
      <c r="E24" s="203"/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81"/>
      <c r="Y24" s="81"/>
      <c r="Z24" s="81"/>
      <c r="AA24" s="81"/>
      <c r="AB24" s="81"/>
      <c r="AC24" s="81"/>
      <c r="AD24" s="81"/>
      <c r="AE24" s="81"/>
      <c r="AF24" s="117"/>
    </row>
    <row r="25" spans="2:32" x14ac:dyDescent="0.2">
      <c r="B25" s="103" t="s">
        <v>131</v>
      </c>
      <c r="C25" s="12"/>
      <c r="D25" s="12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12"/>
      <c r="Y25" s="12"/>
      <c r="Z25" s="12"/>
      <c r="AA25" s="12"/>
      <c r="AB25" s="12"/>
      <c r="AC25" s="12"/>
      <c r="AD25" s="12"/>
      <c r="AE25" s="12"/>
      <c r="AF25" s="118"/>
    </row>
    <row r="26" spans="2:32" x14ac:dyDescent="0.2">
      <c r="B26" s="99" t="s">
        <v>15</v>
      </c>
      <c r="C26" s="12">
        <v>1</v>
      </c>
      <c r="D26" s="12">
        <v>1</v>
      </c>
      <c r="E26" s="23">
        <v>1</v>
      </c>
      <c r="F26" s="23">
        <v>1</v>
      </c>
      <c r="G26" s="23">
        <v>1</v>
      </c>
      <c r="H26" s="23">
        <v>1</v>
      </c>
      <c r="I26" s="23">
        <v>1</v>
      </c>
      <c r="J26" s="23">
        <v>1</v>
      </c>
      <c r="K26" s="23">
        <v>1</v>
      </c>
      <c r="L26" s="23">
        <v>1</v>
      </c>
      <c r="M26" s="23">
        <v>1</v>
      </c>
      <c r="N26" s="23">
        <v>1</v>
      </c>
      <c r="O26" s="23">
        <v>1</v>
      </c>
      <c r="P26" s="23">
        <v>1</v>
      </c>
      <c r="Q26" s="23">
        <v>1</v>
      </c>
      <c r="R26" s="23">
        <v>1</v>
      </c>
      <c r="S26" s="23">
        <v>1</v>
      </c>
      <c r="T26" s="23">
        <v>1</v>
      </c>
      <c r="U26" s="23">
        <v>1</v>
      </c>
      <c r="V26" s="23">
        <v>1</v>
      </c>
      <c r="W26" s="23">
        <v>1</v>
      </c>
      <c r="X26" s="12">
        <v>1</v>
      </c>
      <c r="Y26" s="12">
        <v>1</v>
      </c>
      <c r="Z26" s="12">
        <v>1</v>
      </c>
      <c r="AA26" s="12">
        <v>1</v>
      </c>
      <c r="AB26" s="12">
        <v>1</v>
      </c>
      <c r="AC26" s="12">
        <v>1</v>
      </c>
      <c r="AD26" s="12">
        <v>1</v>
      </c>
      <c r="AE26" s="12">
        <v>1</v>
      </c>
      <c r="AF26" s="118">
        <v>1</v>
      </c>
    </row>
    <row r="27" spans="2:32" x14ac:dyDescent="0.2">
      <c r="B27" s="115" t="s">
        <v>16</v>
      </c>
      <c r="C27" s="14"/>
      <c r="D27" s="14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14"/>
      <c r="X27" s="14"/>
      <c r="Y27" s="14"/>
      <c r="Z27" s="14"/>
      <c r="AA27" s="14"/>
      <c r="AB27" s="14"/>
      <c r="AC27" s="14"/>
      <c r="AD27" s="14"/>
      <c r="AE27" s="14"/>
      <c r="AF27" s="116"/>
    </row>
    <row r="28" spans="2:32" x14ac:dyDescent="0.2">
      <c r="B28" s="103" t="s">
        <v>19</v>
      </c>
      <c r="C28" s="9"/>
      <c r="D28" s="9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9"/>
      <c r="X28" s="9"/>
      <c r="Y28" s="9"/>
      <c r="Z28" s="9"/>
      <c r="AA28" s="9"/>
      <c r="AB28" s="9"/>
      <c r="AC28" s="9"/>
      <c r="AD28" s="9"/>
      <c r="AE28" s="9"/>
      <c r="AF28" s="104"/>
    </row>
    <row r="29" spans="2:32" x14ac:dyDescent="0.2">
      <c r="B29" s="99" t="s">
        <v>5</v>
      </c>
      <c r="C29" s="10">
        <f t="shared" ref="C29:AF29" si="0">C15*C19*C22*C26*1000</f>
        <v>41473760</v>
      </c>
      <c r="D29" s="10">
        <f t="shared" si="0"/>
        <v>42173760</v>
      </c>
      <c r="E29" s="24">
        <f t="shared" si="0"/>
        <v>42523680</v>
      </c>
      <c r="F29" s="24">
        <f t="shared" si="0"/>
        <v>41823840.000000007</v>
      </c>
      <c r="G29" s="24">
        <f t="shared" si="0"/>
        <v>42173760</v>
      </c>
      <c r="H29" s="24">
        <f t="shared" si="0"/>
        <v>41998720</v>
      </c>
      <c r="I29" s="24">
        <f t="shared" si="0"/>
        <v>41823840.000000007</v>
      </c>
      <c r="J29" s="24">
        <f t="shared" si="0"/>
        <v>41998720</v>
      </c>
      <c r="K29" s="24">
        <f t="shared" si="0"/>
        <v>42173760</v>
      </c>
      <c r="L29" s="24">
        <f t="shared" si="0"/>
        <v>41823840.000000007</v>
      </c>
      <c r="M29" s="24">
        <f t="shared" si="0"/>
        <v>42873760</v>
      </c>
      <c r="N29" s="24">
        <f t="shared" si="0"/>
        <v>42173760</v>
      </c>
      <c r="O29" s="24">
        <f t="shared" si="0"/>
        <v>42173760</v>
      </c>
      <c r="P29" s="24">
        <f t="shared" si="0"/>
        <v>43223680</v>
      </c>
      <c r="Q29" s="24">
        <f t="shared" si="0"/>
        <v>43748640</v>
      </c>
      <c r="R29" s="24">
        <f t="shared" si="0"/>
        <v>43573760</v>
      </c>
      <c r="S29" s="24">
        <f t="shared" si="0"/>
        <v>44798720</v>
      </c>
      <c r="T29" s="24">
        <f t="shared" si="0"/>
        <v>45280000</v>
      </c>
      <c r="U29" s="24">
        <f t="shared" si="0"/>
        <v>46560000</v>
      </c>
      <c r="V29" s="24">
        <f t="shared" si="0"/>
        <v>46880000</v>
      </c>
      <c r="W29" s="10">
        <f t="shared" si="0"/>
        <v>47840000</v>
      </c>
      <c r="X29" s="10">
        <f t="shared" si="0"/>
        <v>48960000</v>
      </c>
      <c r="Y29" s="10">
        <f t="shared" si="0"/>
        <v>47040000</v>
      </c>
      <c r="Z29" s="10">
        <f t="shared" si="0"/>
        <v>48000000</v>
      </c>
      <c r="AA29" s="10">
        <f t="shared" si="0"/>
        <v>48000000</v>
      </c>
      <c r="AB29" s="10">
        <f t="shared" si="0"/>
        <v>49440000</v>
      </c>
      <c r="AC29" s="10">
        <f t="shared" si="0"/>
        <v>48480000</v>
      </c>
      <c r="AD29" s="10">
        <f t="shared" si="0"/>
        <v>48480000</v>
      </c>
      <c r="AE29" s="10">
        <f t="shared" si="0"/>
        <v>48835680</v>
      </c>
      <c r="AF29" s="273">
        <f t="shared" si="0"/>
        <v>49185440</v>
      </c>
    </row>
    <row r="30" spans="2:32" x14ac:dyDescent="0.2">
      <c r="B30" s="97" t="s">
        <v>20</v>
      </c>
      <c r="C30" s="7"/>
      <c r="D30" s="7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7"/>
      <c r="X30" s="7"/>
      <c r="Y30" s="7"/>
      <c r="Z30" s="7"/>
      <c r="AA30" s="7"/>
      <c r="AB30" s="7"/>
      <c r="AC30" s="7"/>
      <c r="AD30" s="7"/>
      <c r="AE30" s="7"/>
      <c r="AF30" s="101"/>
    </row>
    <row r="31" spans="2:32" x14ac:dyDescent="0.2">
      <c r="B31" s="96" t="s">
        <v>21</v>
      </c>
      <c r="C31" s="274">
        <f t="shared" ref="C31:AF31" si="1">C54*28/44</f>
        <v>12455.214545454544</v>
      </c>
      <c r="D31" s="85">
        <f t="shared" si="1"/>
        <v>12749.265454545455</v>
      </c>
      <c r="E31" s="175">
        <f t="shared" si="1"/>
        <v>12936.702545454546</v>
      </c>
      <c r="F31" s="175">
        <f t="shared" si="1"/>
        <v>13093.573818181818</v>
      </c>
      <c r="G31" s="175">
        <f t="shared" si="1"/>
        <v>13326.798545454547</v>
      </c>
      <c r="H31" s="175">
        <f t="shared" si="1"/>
        <v>13482.223999999998</v>
      </c>
      <c r="I31" s="175">
        <f t="shared" si="1"/>
        <v>13600.261818181818</v>
      </c>
      <c r="J31" s="175">
        <f t="shared" si="1"/>
        <v>13687.998545454546</v>
      </c>
      <c r="K31" s="175">
        <f t="shared" si="1"/>
        <v>13797.178181818181</v>
      </c>
      <c r="L31" s="175">
        <f t="shared" si="1"/>
        <v>13908.671127272728</v>
      </c>
      <c r="M31" s="175">
        <f t="shared" si="1"/>
        <v>14004.858763636365</v>
      </c>
      <c r="N31" s="175">
        <f t="shared" si="1"/>
        <v>14197.008000000002</v>
      </c>
      <c r="O31" s="175">
        <f t="shared" si="1"/>
        <v>14354.897454545455</v>
      </c>
      <c r="P31" s="175">
        <f t="shared" si="1"/>
        <v>14521.339636363637</v>
      </c>
      <c r="Q31" s="175">
        <f t="shared" si="1"/>
        <v>14662.96669090909</v>
      </c>
      <c r="R31" s="175">
        <f t="shared" si="1"/>
        <v>14785.9712</v>
      </c>
      <c r="S31" s="175">
        <f t="shared" si="1"/>
        <v>14929.111272727272</v>
      </c>
      <c r="T31" s="175">
        <f t="shared" si="1"/>
        <v>15049.602909090911</v>
      </c>
      <c r="U31" s="175">
        <f t="shared" si="1"/>
        <v>15231.328000000001</v>
      </c>
      <c r="V31" s="175">
        <f t="shared" si="1"/>
        <v>15409.102545454545</v>
      </c>
      <c r="W31" s="85">
        <f t="shared" si="1"/>
        <v>15561.198545454547</v>
      </c>
      <c r="X31" s="85">
        <f t="shared" si="1"/>
        <v>15628.357818181819</v>
      </c>
      <c r="Y31" s="85">
        <f t="shared" si="1"/>
        <v>15796.255999999999</v>
      </c>
      <c r="Z31" s="85">
        <f t="shared" si="1"/>
        <v>15977.981090909092</v>
      </c>
      <c r="AA31" s="85">
        <f t="shared" si="1"/>
        <v>16175.508363636363</v>
      </c>
      <c r="AB31" s="85">
        <f t="shared" si="1"/>
        <v>16359.208727272728</v>
      </c>
      <c r="AC31" s="85">
        <f t="shared" si="1"/>
        <v>16538.958545454545</v>
      </c>
      <c r="AD31" s="85">
        <f t="shared" si="1"/>
        <v>16718.708363636364</v>
      </c>
      <c r="AE31" s="85">
        <f t="shared" si="1"/>
        <v>16898.458181818183</v>
      </c>
      <c r="AF31" s="120">
        <f t="shared" si="1"/>
        <v>17078.207999999999</v>
      </c>
    </row>
    <row r="32" spans="2:32" x14ac:dyDescent="0.2">
      <c r="B32" s="103" t="s">
        <v>22</v>
      </c>
      <c r="C32" s="31"/>
      <c r="D32" s="9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9"/>
      <c r="X32" s="9"/>
      <c r="Y32" s="9"/>
      <c r="Z32" s="9"/>
      <c r="AA32" s="9"/>
      <c r="AB32" s="9"/>
      <c r="AC32" s="9"/>
      <c r="AD32" s="9"/>
      <c r="AE32" s="9"/>
      <c r="AF32" s="104"/>
    </row>
    <row r="33" spans="2:32" x14ac:dyDescent="0.2">
      <c r="B33" s="99" t="s">
        <v>4</v>
      </c>
      <c r="C33" s="27">
        <v>212600</v>
      </c>
      <c r="D33" s="27">
        <v>212200</v>
      </c>
      <c r="E33" s="28">
        <v>211800</v>
      </c>
      <c r="F33" s="28">
        <v>211400</v>
      </c>
      <c r="G33" s="28">
        <v>211000</v>
      </c>
      <c r="H33" s="28">
        <v>210600</v>
      </c>
      <c r="I33" s="28">
        <v>210200</v>
      </c>
      <c r="J33" s="28">
        <v>209800</v>
      </c>
      <c r="K33" s="28">
        <v>209400</v>
      </c>
      <c r="L33" s="28">
        <v>209000</v>
      </c>
      <c r="M33" s="28">
        <v>205833.33333333334</v>
      </c>
      <c r="N33" s="28">
        <v>202666.66666666669</v>
      </c>
      <c r="O33" s="28">
        <v>199500</v>
      </c>
      <c r="P33" s="28">
        <v>199500</v>
      </c>
      <c r="Q33" s="28">
        <v>199500</v>
      </c>
      <c r="R33" s="28">
        <v>205000</v>
      </c>
      <c r="S33" s="28">
        <v>210000</v>
      </c>
      <c r="T33" s="28">
        <v>210000</v>
      </c>
      <c r="U33" s="28">
        <v>210000</v>
      </c>
      <c r="V33" s="28">
        <v>210000</v>
      </c>
      <c r="W33" s="27">
        <v>210000</v>
      </c>
      <c r="X33" s="27">
        <v>210000</v>
      </c>
      <c r="Y33" s="27">
        <v>210000</v>
      </c>
      <c r="Z33" s="27">
        <v>210000</v>
      </c>
      <c r="AA33" s="27">
        <v>210000</v>
      </c>
      <c r="AB33" s="27">
        <v>210000</v>
      </c>
      <c r="AC33" s="27">
        <v>210000</v>
      </c>
      <c r="AD33" s="27">
        <v>210000</v>
      </c>
      <c r="AE33" s="27">
        <v>210000</v>
      </c>
      <c r="AF33" s="114">
        <v>210000</v>
      </c>
    </row>
    <row r="34" spans="2:32" x14ac:dyDescent="0.2">
      <c r="B34" s="111" t="s">
        <v>23</v>
      </c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9"/>
      <c r="Y34" s="9"/>
      <c r="Z34" s="9"/>
      <c r="AA34" s="9"/>
      <c r="AB34" s="9"/>
      <c r="AC34" s="9"/>
      <c r="AD34" s="9"/>
      <c r="AE34" s="9"/>
      <c r="AF34" s="104"/>
    </row>
    <row r="35" spans="2:32" x14ac:dyDescent="0.2">
      <c r="B35" s="111" t="s">
        <v>24</v>
      </c>
      <c r="C35" s="9"/>
      <c r="D35" s="9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9"/>
      <c r="X35" s="9"/>
      <c r="Y35" s="9"/>
      <c r="Z35" s="9"/>
      <c r="AA35" s="9"/>
      <c r="AB35" s="9"/>
      <c r="AC35" s="9"/>
      <c r="AD35" s="9"/>
      <c r="AE35" s="9"/>
      <c r="AF35" s="104"/>
    </row>
    <row r="36" spans="2:32" x14ac:dyDescent="0.2">
      <c r="B36" s="111" t="s">
        <v>158</v>
      </c>
      <c r="C36" s="9"/>
      <c r="D36" s="9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9"/>
      <c r="X36" s="9"/>
      <c r="Y36" s="9"/>
      <c r="Z36" s="9"/>
      <c r="AA36" s="9"/>
      <c r="AB36" s="9"/>
      <c r="AC36" s="9"/>
      <c r="AD36" s="9"/>
      <c r="AE36" s="9"/>
      <c r="AF36" s="104"/>
    </row>
    <row r="37" spans="2:32" x14ac:dyDescent="0.2">
      <c r="B37" s="97" t="s">
        <v>25</v>
      </c>
      <c r="C37" s="7"/>
      <c r="D37" s="7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7"/>
      <c r="X37" s="7"/>
      <c r="Y37" s="7"/>
      <c r="Z37" s="7"/>
      <c r="AA37" s="7"/>
      <c r="AB37" s="7"/>
      <c r="AC37" s="7"/>
      <c r="AD37" s="7"/>
      <c r="AE37" s="7"/>
      <c r="AF37" s="101"/>
    </row>
    <row r="38" spans="2:32" x14ac:dyDescent="0.2">
      <c r="B38" s="99" t="s">
        <v>26</v>
      </c>
      <c r="C38" s="9">
        <v>4.4519999999999997E-2</v>
      </c>
      <c r="D38" s="9">
        <v>4.4039999999999996E-2</v>
      </c>
      <c r="E38" s="22">
        <v>4.3506000000000003E-2</v>
      </c>
      <c r="F38" s="22">
        <v>4.308E-2</v>
      </c>
      <c r="G38" s="22">
        <v>4.2599999999999999E-2</v>
      </c>
      <c r="H38" s="21">
        <v>4.2779999999999999E-2</v>
      </c>
      <c r="I38" s="22">
        <v>4.2960000000000005E-2</v>
      </c>
      <c r="J38" s="22">
        <v>4.3139999999999998E-2</v>
      </c>
      <c r="K38" s="22">
        <v>4.3319999999999997E-2</v>
      </c>
      <c r="L38" s="22">
        <v>4.3499999999999997E-2</v>
      </c>
      <c r="M38" s="22">
        <v>4.3499999999999997E-2</v>
      </c>
      <c r="N38" s="22">
        <v>4.3499999999999997E-2</v>
      </c>
      <c r="O38" s="22">
        <v>4.3499999999999997E-2</v>
      </c>
      <c r="P38" s="22">
        <v>4.3499999999999997E-2</v>
      </c>
      <c r="Q38" s="22">
        <v>4.3499999999999997E-2</v>
      </c>
      <c r="R38" s="22">
        <v>4.3499999999999997E-2</v>
      </c>
      <c r="S38" s="22">
        <v>4.3499999999999997E-2</v>
      </c>
      <c r="T38" s="22">
        <v>4.3499999999999997E-2</v>
      </c>
      <c r="U38" s="22">
        <v>4.3499999999999997E-2</v>
      </c>
      <c r="V38" s="22">
        <v>4.3499999999999997E-2</v>
      </c>
      <c r="W38" s="9">
        <v>4.3499999999999997E-2</v>
      </c>
      <c r="X38" s="9">
        <v>4.3499999999999997E-2</v>
      </c>
      <c r="Y38" s="9">
        <v>4.3499999999999997E-2</v>
      </c>
      <c r="Z38" s="9">
        <v>4.3499999999999997E-2</v>
      </c>
      <c r="AA38" s="9">
        <v>4.3499999999999997E-2</v>
      </c>
      <c r="AB38" s="9">
        <v>4.3499999999999997E-2</v>
      </c>
      <c r="AC38" s="9">
        <v>4.3499999999999997E-2</v>
      </c>
      <c r="AD38" s="9">
        <v>4.3499999999999997E-2</v>
      </c>
      <c r="AE38" s="9">
        <v>4.3499999999999997E-2</v>
      </c>
      <c r="AF38" s="104">
        <v>4.3499999999999997E-2</v>
      </c>
    </row>
    <row r="39" spans="2:32" x14ac:dyDescent="0.2">
      <c r="B39" s="111" t="s">
        <v>23</v>
      </c>
      <c r="C39" s="9"/>
      <c r="D39" s="9"/>
      <c r="E39" s="22"/>
      <c r="F39" s="22"/>
      <c r="G39" s="22"/>
      <c r="H39" s="21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9"/>
      <c r="X39" s="9"/>
      <c r="Y39" s="9"/>
      <c r="Z39" s="9"/>
      <c r="AA39" s="9"/>
      <c r="AB39" s="9"/>
      <c r="AC39" s="9"/>
      <c r="AD39" s="9"/>
      <c r="AE39" s="9"/>
      <c r="AF39" s="104"/>
    </row>
    <row r="40" spans="2:32" x14ac:dyDescent="0.2">
      <c r="B40" s="115" t="s">
        <v>159</v>
      </c>
      <c r="C40" s="14"/>
      <c r="D40" s="14"/>
      <c r="E40" s="52"/>
      <c r="F40" s="52"/>
      <c r="G40" s="52"/>
      <c r="H40" s="275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14"/>
      <c r="X40" s="14"/>
      <c r="Y40" s="14"/>
      <c r="Z40" s="14"/>
      <c r="AA40" s="14"/>
      <c r="AB40" s="14"/>
      <c r="AC40" s="14"/>
      <c r="AD40" s="14"/>
      <c r="AE40" s="14"/>
      <c r="AF40" s="116"/>
    </row>
    <row r="41" spans="2:32" x14ac:dyDescent="0.2">
      <c r="B41" s="97" t="s">
        <v>27</v>
      </c>
      <c r="C41" s="7"/>
      <c r="D41" s="7"/>
      <c r="E41" s="60"/>
      <c r="F41" s="60"/>
      <c r="G41" s="60"/>
      <c r="H41" s="206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7"/>
      <c r="X41" s="7"/>
      <c r="Y41" s="7"/>
      <c r="Z41" s="7"/>
      <c r="AA41" s="7"/>
      <c r="AB41" s="7"/>
      <c r="AC41" s="7"/>
      <c r="AD41" s="7"/>
      <c r="AE41" s="7"/>
      <c r="AF41" s="101"/>
    </row>
    <row r="42" spans="2:32" x14ac:dyDescent="0.2">
      <c r="B42" s="96" t="s">
        <v>5</v>
      </c>
      <c r="C42" s="276">
        <f t="shared" ref="C42:AF42" si="2">C33*C38*1000</f>
        <v>9464952</v>
      </c>
      <c r="D42" s="204">
        <f t="shared" si="2"/>
        <v>9345287.9999999981</v>
      </c>
      <c r="E42" s="204">
        <f t="shared" si="2"/>
        <v>9214570.8000000007</v>
      </c>
      <c r="F42" s="204">
        <f t="shared" si="2"/>
        <v>9107112</v>
      </c>
      <c r="G42" s="204">
        <f t="shared" si="2"/>
        <v>8988600</v>
      </c>
      <c r="H42" s="204">
        <f t="shared" si="2"/>
        <v>9009467.9999999981</v>
      </c>
      <c r="I42" s="204">
        <f t="shared" si="2"/>
        <v>9030192</v>
      </c>
      <c r="J42" s="204">
        <f t="shared" si="2"/>
        <v>9050771.9999999981</v>
      </c>
      <c r="K42" s="204">
        <f t="shared" si="2"/>
        <v>9071207.9999999981</v>
      </c>
      <c r="L42" s="204">
        <f t="shared" si="2"/>
        <v>9091500</v>
      </c>
      <c r="M42" s="204">
        <f t="shared" si="2"/>
        <v>8953750</v>
      </c>
      <c r="N42" s="204">
        <f t="shared" si="2"/>
        <v>8816000</v>
      </c>
      <c r="O42" s="204">
        <f t="shared" si="2"/>
        <v>8678250</v>
      </c>
      <c r="P42" s="204">
        <f t="shared" si="2"/>
        <v>8678250</v>
      </c>
      <c r="Q42" s="204">
        <f t="shared" si="2"/>
        <v>8678250</v>
      </c>
      <c r="R42" s="204">
        <f t="shared" si="2"/>
        <v>8917500</v>
      </c>
      <c r="S42" s="204">
        <f t="shared" si="2"/>
        <v>9135000</v>
      </c>
      <c r="T42" s="204">
        <f t="shared" si="2"/>
        <v>9135000</v>
      </c>
      <c r="U42" s="204">
        <f t="shared" si="2"/>
        <v>9135000</v>
      </c>
      <c r="V42" s="204">
        <f t="shared" si="2"/>
        <v>9135000</v>
      </c>
      <c r="W42" s="204">
        <f t="shared" si="2"/>
        <v>9135000</v>
      </c>
      <c r="X42" s="204">
        <f t="shared" si="2"/>
        <v>9135000</v>
      </c>
      <c r="Y42" s="204">
        <f t="shared" si="2"/>
        <v>9135000</v>
      </c>
      <c r="Z42" s="204">
        <f t="shared" si="2"/>
        <v>9135000</v>
      </c>
      <c r="AA42" s="204">
        <f t="shared" si="2"/>
        <v>9135000</v>
      </c>
      <c r="AB42" s="204">
        <f t="shared" si="2"/>
        <v>9135000</v>
      </c>
      <c r="AC42" s="204">
        <f t="shared" si="2"/>
        <v>9135000</v>
      </c>
      <c r="AD42" s="204">
        <f t="shared" si="2"/>
        <v>9135000</v>
      </c>
      <c r="AE42" s="204">
        <f t="shared" si="2"/>
        <v>9135000</v>
      </c>
      <c r="AF42" s="205">
        <f t="shared" si="2"/>
        <v>9135000</v>
      </c>
    </row>
    <row r="43" spans="2:32" x14ac:dyDescent="0.2">
      <c r="B43" s="103" t="s">
        <v>28</v>
      </c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151"/>
    </row>
    <row r="44" spans="2:32" ht="13.5" thickBot="1" x14ac:dyDescent="0.25">
      <c r="B44" s="99" t="s">
        <v>5</v>
      </c>
      <c r="C44" s="10">
        <f t="shared" ref="C44:AF44" si="3">C29-C31-C42</f>
        <v>31996352.785454549</v>
      </c>
      <c r="D44" s="10">
        <f t="shared" si="3"/>
        <v>32815722.734545454</v>
      </c>
      <c r="E44" s="10">
        <f t="shared" si="3"/>
        <v>33296172.497454543</v>
      </c>
      <c r="F44" s="10">
        <f t="shared" si="3"/>
        <v>32703634.426181823</v>
      </c>
      <c r="G44" s="10">
        <f t="shared" si="3"/>
        <v>33171833.201454543</v>
      </c>
      <c r="H44" s="10">
        <f t="shared" si="3"/>
        <v>32975769.776000001</v>
      </c>
      <c r="I44" s="10">
        <f t="shared" si="3"/>
        <v>32780047.738181822</v>
      </c>
      <c r="J44" s="10">
        <f t="shared" si="3"/>
        <v>32934260.001454547</v>
      </c>
      <c r="K44" s="10">
        <f t="shared" si="3"/>
        <v>33088754.82181818</v>
      </c>
      <c r="L44" s="10">
        <f t="shared" si="3"/>
        <v>32718431.328872733</v>
      </c>
      <c r="M44" s="10">
        <f t="shared" si="3"/>
        <v>33906005.141236365</v>
      </c>
      <c r="N44" s="10">
        <f t="shared" si="3"/>
        <v>33343562.991999999</v>
      </c>
      <c r="O44" s="10">
        <f t="shared" si="3"/>
        <v>33481155.102545455</v>
      </c>
      <c r="P44" s="10">
        <f t="shared" si="3"/>
        <v>34530908.660363637</v>
      </c>
      <c r="Q44" s="10">
        <f t="shared" si="3"/>
        <v>35055727.033309095</v>
      </c>
      <c r="R44" s="10">
        <f t="shared" si="3"/>
        <v>34641474.028800003</v>
      </c>
      <c r="S44" s="10">
        <f t="shared" si="3"/>
        <v>35648790.88872727</v>
      </c>
      <c r="T44" s="10">
        <f t="shared" si="3"/>
        <v>36129950.397090912</v>
      </c>
      <c r="U44" s="10">
        <f t="shared" si="3"/>
        <v>37409768.671999998</v>
      </c>
      <c r="V44" s="10">
        <f t="shared" si="3"/>
        <v>37729590.897454545</v>
      </c>
      <c r="W44" s="10">
        <f t="shared" si="3"/>
        <v>38689438.801454544</v>
      </c>
      <c r="X44" s="10">
        <f t="shared" si="3"/>
        <v>39809371.642181821</v>
      </c>
      <c r="Y44" s="10">
        <f t="shared" si="3"/>
        <v>37889203.744000003</v>
      </c>
      <c r="Z44" s="10">
        <f t="shared" si="3"/>
        <v>38849022.018909089</v>
      </c>
      <c r="AA44" s="10">
        <f t="shared" si="3"/>
        <v>38848824.491636366</v>
      </c>
      <c r="AB44" s="10">
        <f t="shared" si="3"/>
        <v>40288640.79127273</v>
      </c>
      <c r="AC44" s="10">
        <f t="shared" si="3"/>
        <v>39328461.041454546</v>
      </c>
      <c r="AD44" s="10">
        <f t="shared" si="3"/>
        <v>39328281.291636363</v>
      </c>
      <c r="AE44" s="10">
        <f t="shared" si="3"/>
        <v>39683781.541818179</v>
      </c>
      <c r="AF44" s="273">
        <f t="shared" si="3"/>
        <v>40033361.792000003</v>
      </c>
    </row>
    <row r="45" spans="2:32" ht="19.5" customHeight="1" x14ac:dyDescent="0.2">
      <c r="B45" s="168" t="s">
        <v>123</v>
      </c>
      <c r="C45" s="169"/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69"/>
      <c r="O45" s="169"/>
      <c r="P45" s="169"/>
      <c r="Q45" s="169"/>
      <c r="R45" s="169"/>
      <c r="S45" s="169"/>
      <c r="T45" s="169"/>
      <c r="U45" s="169"/>
      <c r="V45" s="169"/>
      <c r="W45" s="169"/>
      <c r="X45" s="169"/>
      <c r="Y45" s="169"/>
      <c r="Z45" s="169"/>
      <c r="AA45" s="169"/>
      <c r="AB45" s="169"/>
      <c r="AC45" s="169"/>
      <c r="AD45" s="169"/>
      <c r="AE45" s="169"/>
      <c r="AF45" s="170"/>
    </row>
    <row r="46" spans="2:32" ht="14.25" x14ac:dyDescent="0.25">
      <c r="B46" s="103" t="s">
        <v>175</v>
      </c>
      <c r="C46" s="18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18"/>
    </row>
    <row r="47" spans="2:32" ht="15.75" x14ac:dyDescent="0.3">
      <c r="B47" s="99" t="s">
        <v>30</v>
      </c>
      <c r="C47" s="18">
        <v>3.2</v>
      </c>
      <c r="D47" s="12">
        <v>3.2</v>
      </c>
      <c r="E47" s="12">
        <v>3.2</v>
      </c>
      <c r="F47" s="12">
        <v>3.2</v>
      </c>
      <c r="G47" s="12">
        <v>3.2</v>
      </c>
      <c r="H47" s="12">
        <v>3.2</v>
      </c>
      <c r="I47" s="12">
        <v>3.2</v>
      </c>
      <c r="J47" s="12">
        <v>3.2</v>
      </c>
      <c r="K47" s="12">
        <v>3.2</v>
      </c>
      <c r="L47" s="12">
        <v>3.2</v>
      </c>
      <c r="M47" s="12">
        <v>3.2</v>
      </c>
      <c r="N47" s="12">
        <v>3.2</v>
      </c>
      <c r="O47" s="12">
        <v>3.2</v>
      </c>
      <c r="P47" s="12">
        <v>3.2</v>
      </c>
      <c r="Q47" s="12">
        <v>3.2</v>
      </c>
      <c r="R47" s="12">
        <v>3.2</v>
      </c>
      <c r="S47" s="12">
        <v>3.2</v>
      </c>
      <c r="T47" s="12">
        <v>3.2</v>
      </c>
      <c r="U47" s="12">
        <v>3.2</v>
      </c>
      <c r="V47" s="12">
        <v>3.2</v>
      </c>
      <c r="W47" s="12">
        <v>3.2</v>
      </c>
      <c r="X47" s="12">
        <v>3.2</v>
      </c>
      <c r="Y47" s="12">
        <v>3.2</v>
      </c>
      <c r="Z47" s="12">
        <v>3.2</v>
      </c>
      <c r="AA47" s="12">
        <v>3.2</v>
      </c>
      <c r="AB47" s="12">
        <v>3.2</v>
      </c>
      <c r="AC47" s="12">
        <v>3.2</v>
      </c>
      <c r="AD47" s="12">
        <v>3.2</v>
      </c>
      <c r="AE47" s="12">
        <v>3.2</v>
      </c>
      <c r="AF47" s="118">
        <v>3.2</v>
      </c>
    </row>
    <row r="48" spans="2:32" x14ac:dyDescent="0.2">
      <c r="B48" s="111" t="s">
        <v>16</v>
      </c>
      <c r="C48" s="18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18"/>
    </row>
    <row r="49" spans="1:32" ht="14.25" x14ac:dyDescent="0.25">
      <c r="B49" s="97" t="s">
        <v>176</v>
      </c>
      <c r="C49" s="7"/>
      <c r="D49" s="7"/>
      <c r="E49" s="60"/>
      <c r="F49" s="60"/>
      <c r="G49" s="60"/>
      <c r="H49" s="206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7"/>
      <c r="X49" s="7"/>
      <c r="Y49" s="7"/>
      <c r="Z49" s="7"/>
      <c r="AA49" s="7"/>
      <c r="AB49" s="7"/>
      <c r="AC49" s="7"/>
      <c r="AD49" s="7"/>
      <c r="AE49" s="7"/>
      <c r="AF49" s="101"/>
    </row>
    <row r="50" spans="1:32" ht="15.75" x14ac:dyDescent="0.3">
      <c r="B50" s="99" t="s">
        <v>29</v>
      </c>
      <c r="C50" s="9">
        <v>5.0000000000000001E-3</v>
      </c>
      <c r="D50" s="9">
        <v>5.0000000000000001E-3</v>
      </c>
      <c r="E50" s="9">
        <v>5.0000000000000001E-3</v>
      </c>
      <c r="F50" s="9">
        <v>5.0000000000000001E-3</v>
      </c>
      <c r="G50" s="9">
        <v>5.0000000000000001E-3</v>
      </c>
      <c r="H50" s="9">
        <v>5.0000000000000001E-3</v>
      </c>
      <c r="I50" s="9">
        <v>5.0000000000000001E-3</v>
      </c>
      <c r="J50" s="9">
        <v>5.0000000000000001E-3</v>
      </c>
      <c r="K50" s="9">
        <v>5.0000000000000001E-3</v>
      </c>
      <c r="L50" s="9">
        <v>5.0000000000000001E-3</v>
      </c>
      <c r="M50" s="9">
        <v>5.0000000000000001E-3</v>
      </c>
      <c r="N50" s="9">
        <v>5.0000000000000001E-3</v>
      </c>
      <c r="O50" s="9">
        <v>5.0000000000000001E-3</v>
      </c>
      <c r="P50" s="9">
        <v>5.0000000000000001E-3</v>
      </c>
      <c r="Q50" s="9">
        <v>5.0000000000000001E-3</v>
      </c>
      <c r="R50" s="9">
        <v>5.0000000000000001E-3</v>
      </c>
      <c r="S50" s="9">
        <v>5.0000000000000001E-3</v>
      </c>
      <c r="T50" s="9">
        <v>5.0000000000000001E-3</v>
      </c>
      <c r="U50" s="9">
        <v>5.0000000000000001E-3</v>
      </c>
      <c r="V50" s="9">
        <v>5.0000000000000001E-3</v>
      </c>
      <c r="W50" s="9">
        <v>5.0000000000000001E-3</v>
      </c>
      <c r="X50" s="9">
        <v>5.0000000000000001E-3</v>
      </c>
      <c r="Y50" s="9">
        <v>5.0000000000000001E-3</v>
      </c>
      <c r="Z50" s="9">
        <v>5.0000000000000001E-3</v>
      </c>
      <c r="AA50" s="9">
        <v>5.0000000000000001E-3</v>
      </c>
      <c r="AB50" s="9">
        <v>5.0000000000000001E-3</v>
      </c>
      <c r="AC50" s="9">
        <v>5.0000000000000001E-3</v>
      </c>
      <c r="AD50" s="9">
        <v>5.0000000000000001E-3</v>
      </c>
      <c r="AE50" s="9">
        <v>5.0000000000000001E-3</v>
      </c>
      <c r="AF50" s="104">
        <v>5.0000000000000001E-3</v>
      </c>
    </row>
    <row r="51" spans="1:32" ht="13.5" thickBot="1" x14ac:dyDescent="0.25">
      <c r="B51" s="105" t="s">
        <v>16</v>
      </c>
      <c r="C51" s="107"/>
      <c r="D51" s="107"/>
      <c r="E51" s="107"/>
      <c r="F51" s="107"/>
      <c r="G51" s="107"/>
      <c r="H51" s="108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9"/>
    </row>
    <row r="52" spans="1:32" ht="19.5" customHeight="1" x14ac:dyDescent="0.2">
      <c r="B52" s="168" t="s">
        <v>122</v>
      </c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70"/>
    </row>
    <row r="53" spans="1:32" x14ac:dyDescent="0.2">
      <c r="B53" s="103" t="s">
        <v>13</v>
      </c>
      <c r="C53" s="3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104"/>
    </row>
    <row r="54" spans="1:32" ht="15.75" x14ac:dyDescent="0.3">
      <c r="A54" s="72"/>
      <c r="B54" s="141" t="s">
        <v>17</v>
      </c>
      <c r="C54" s="41">
        <f t="shared" ref="C54:AA54" si="4">C5*C8*C12*C47/1000</f>
        <v>19572.48</v>
      </c>
      <c r="D54" s="42">
        <f>D5*D8*D12*D47/1000</f>
        <v>20034.560000000001</v>
      </c>
      <c r="E54" s="42">
        <f t="shared" si="4"/>
        <v>20329.103999999999</v>
      </c>
      <c r="F54" s="42">
        <f t="shared" si="4"/>
        <v>20575.616000000002</v>
      </c>
      <c r="G54" s="42">
        <f t="shared" si="4"/>
        <v>20942.112000000001</v>
      </c>
      <c r="H54" s="42">
        <f t="shared" si="4"/>
        <v>21186.351999999999</v>
      </c>
      <c r="I54" s="42">
        <f t="shared" si="4"/>
        <v>21371.84</v>
      </c>
      <c r="J54" s="42">
        <f t="shared" si="4"/>
        <v>21509.712</v>
      </c>
      <c r="K54" s="42">
        <f t="shared" si="4"/>
        <v>21681.279999999999</v>
      </c>
      <c r="L54" s="42">
        <f t="shared" si="4"/>
        <v>21856.483200000002</v>
      </c>
      <c r="M54" s="42">
        <f t="shared" si="4"/>
        <v>22007.635200000004</v>
      </c>
      <c r="N54" s="42">
        <f t="shared" si="4"/>
        <v>22309.584000000003</v>
      </c>
      <c r="O54" s="42">
        <f t="shared" si="4"/>
        <v>22557.696</v>
      </c>
      <c r="P54" s="42">
        <f t="shared" si="4"/>
        <v>22819.248</v>
      </c>
      <c r="Q54" s="42">
        <f t="shared" si="4"/>
        <v>23041.804800000002</v>
      </c>
      <c r="R54" s="42">
        <f t="shared" si="4"/>
        <v>23235.097600000001</v>
      </c>
      <c r="S54" s="42">
        <f t="shared" si="4"/>
        <v>23460.031999999999</v>
      </c>
      <c r="T54" s="42">
        <f t="shared" si="4"/>
        <v>23649.376</v>
      </c>
      <c r="U54" s="42">
        <f t="shared" si="4"/>
        <v>23934.944</v>
      </c>
      <c r="V54" s="42">
        <f t="shared" si="4"/>
        <v>24214.304</v>
      </c>
      <c r="W54" s="42">
        <f t="shared" si="4"/>
        <v>24453.312000000002</v>
      </c>
      <c r="X54" s="42">
        <f t="shared" si="4"/>
        <v>24558.848000000002</v>
      </c>
      <c r="Y54" s="42">
        <f t="shared" si="4"/>
        <v>24822.687999999998</v>
      </c>
      <c r="Z54" s="42">
        <f t="shared" si="4"/>
        <v>25108.256000000001</v>
      </c>
      <c r="AA54" s="42">
        <f t="shared" si="4"/>
        <v>25418.655999999999</v>
      </c>
      <c r="AB54" s="42">
        <f>AB5*AB8*AB12*AB47/1000</f>
        <v>25707.328000000001</v>
      </c>
      <c r="AC54" s="42">
        <f>AC5*AC8*AC12*AC47/1000</f>
        <v>25989.792000000001</v>
      </c>
      <c r="AD54" s="42">
        <f t="shared" ref="AD54:AF54" si="5">AD5*AD8*AD12*AD47/1000</f>
        <v>26272.256000000001</v>
      </c>
      <c r="AE54" s="42">
        <f t="shared" si="5"/>
        <v>26554.720000000001</v>
      </c>
      <c r="AF54" s="110">
        <f t="shared" si="5"/>
        <v>26837.184000000001</v>
      </c>
    </row>
    <row r="55" spans="1:32" x14ac:dyDescent="0.2">
      <c r="A55" s="72"/>
      <c r="B55" s="156" t="s">
        <v>58</v>
      </c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8"/>
    </row>
    <row r="56" spans="1:32" ht="15.75" x14ac:dyDescent="0.3">
      <c r="A56" s="72"/>
      <c r="B56" s="141" t="s">
        <v>6</v>
      </c>
      <c r="C56" s="42">
        <f t="shared" ref="C56:AB56" si="6">C44*C50</f>
        <v>159981.76392727275</v>
      </c>
      <c r="D56" s="42">
        <f t="shared" si="6"/>
        <v>164078.61367272728</v>
      </c>
      <c r="E56" s="42">
        <f t="shared" si="6"/>
        <v>166480.86248727271</v>
      </c>
      <c r="F56" s="42">
        <f t="shared" si="6"/>
        <v>163518.17213090911</v>
      </c>
      <c r="G56" s="42">
        <f t="shared" si="6"/>
        <v>165859.16600727272</v>
      </c>
      <c r="H56" s="42">
        <f t="shared" si="6"/>
        <v>164878.84888000001</v>
      </c>
      <c r="I56" s="42">
        <f t="shared" si="6"/>
        <v>163900.23869090911</v>
      </c>
      <c r="J56" s="42">
        <f t="shared" si="6"/>
        <v>164671.30000727274</v>
      </c>
      <c r="K56" s="42">
        <f t="shared" si="6"/>
        <v>165443.77410909091</v>
      </c>
      <c r="L56" s="42">
        <f t="shared" si="6"/>
        <v>163592.15664436365</v>
      </c>
      <c r="M56" s="42">
        <f t="shared" si="6"/>
        <v>169530.02570618183</v>
      </c>
      <c r="N56" s="42">
        <f t="shared" si="6"/>
        <v>166717.81495999999</v>
      </c>
      <c r="O56" s="42">
        <f t="shared" si="6"/>
        <v>167405.77551272727</v>
      </c>
      <c r="P56" s="42">
        <f t="shared" si="6"/>
        <v>172654.54330181819</v>
      </c>
      <c r="Q56" s="42">
        <f t="shared" si="6"/>
        <v>175278.63516654549</v>
      </c>
      <c r="R56" s="42">
        <f t="shared" si="6"/>
        <v>173207.37014400001</v>
      </c>
      <c r="S56" s="42">
        <f t="shared" si="6"/>
        <v>178243.95444363635</v>
      </c>
      <c r="T56" s="42">
        <f t="shared" si="6"/>
        <v>180649.75198545455</v>
      </c>
      <c r="U56" s="42">
        <f t="shared" si="6"/>
        <v>187048.84336</v>
      </c>
      <c r="V56" s="42">
        <f t="shared" si="6"/>
        <v>188647.95448727274</v>
      </c>
      <c r="W56" s="42">
        <f t="shared" si="6"/>
        <v>193447.19400727272</v>
      </c>
      <c r="X56" s="42">
        <f t="shared" si="6"/>
        <v>199046.85821090912</v>
      </c>
      <c r="Y56" s="42">
        <f t="shared" si="6"/>
        <v>189446.01872000002</v>
      </c>
      <c r="Z56" s="42">
        <f t="shared" si="6"/>
        <v>194245.11009454544</v>
      </c>
      <c r="AA56" s="42">
        <f t="shared" si="6"/>
        <v>194244.12245818184</v>
      </c>
      <c r="AB56" s="42">
        <f t="shared" si="6"/>
        <v>201443.20395636366</v>
      </c>
      <c r="AC56" s="42">
        <f>AC44*AC50</f>
        <v>196642.30520727273</v>
      </c>
      <c r="AD56" s="42">
        <f t="shared" ref="AD56:AF56" si="7">AD44*AD50</f>
        <v>196641.40645818182</v>
      </c>
      <c r="AE56" s="42">
        <f t="shared" si="7"/>
        <v>198418.90770909091</v>
      </c>
      <c r="AF56" s="110">
        <f t="shared" si="7"/>
        <v>200166.80896000002</v>
      </c>
    </row>
    <row r="57" spans="1:32" ht="16.5" thickBot="1" x14ac:dyDescent="0.35">
      <c r="A57" s="72"/>
      <c r="B57" s="238" t="s">
        <v>7</v>
      </c>
      <c r="C57" s="131">
        <f>C56*(44/28)</f>
        <v>251399.91474285719</v>
      </c>
      <c r="D57" s="131">
        <f t="shared" ref="D57:AF57" si="8">D56*(44/28)</f>
        <v>257837.82148571429</v>
      </c>
      <c r="E57" s="131">
        <f t="shared" si="8"/>
        <v>261612.78390857141</v>
      </c>
      <c r="F57" s="131">
        <f t="shared" si="8"/>
        <v>256957.12763428575</v>
      </c>
      <c r="G57" s="131">
        <f t="shared" si="8"/>
        <v>260635.83229714286</v>
      </c>
      <c r="H57" s="131">
        <f t="shared" si="8"/>
        <v>259095.33395428571</v>
      </c>
      <c r="I57" s="131">
        <f t="shared" si="8"/>
        <v>257557.51794285717</v>
      </c>
      <c r="J57" s="131">
        <f t="shared" si="8"/>
        <v>258769.18572571431</v>
      </c>
      <c r="K57" s="131">
        <f t="shared" si="8"/>
        <v>259983.0736</v>
      </c>
      <c r="L57" s="131">
        <f t="shared" si="8"/>
        <v>257073.38901257145</v>
      </c>
      <c r="M57" s="131">
        <f t="shared" si="8"/>
        <v>266404.32610971428</v>
      </c>
      <c r="N57" s="131">
        <f t="shared" si="8"/>
        <v>261985.13779428569</v>
      </c>
      <c r="O57" s="131">
        <f t="shared" si="8"/>
        <v>263066.21866285714</v>
      </c>
      <c r="P57" s="131">
        <f t="shared" si="8"/>
        <v>271314.28233142861</v>
      </c>
      <c r="Q57" s="131">
        <f t="shared" si="8"/>
        <v>275437.85526171431</v>
      </c>
      <c r="R57" s="131">
        <f t="shared" si="8"/>
        <v>272183.01022628573</v>
      </c>
      <c r="S57" s="131">
        <f t="shared" si="8"/>
        <v>280097.64269714284</v>
      </c>
      <c r="T57" s="131">
        <f t="shared" si="8"/>
        <v>283878.18169142859</v>
      </c>
      <c r="U57" s="131">
        <f t="shared" si="8"/>
        <v>293933.89670857141</v>
      </c>
      <c r="V57" s="131">
        <f t="shared" si="8"/>
        <v>296446.78562285716</v>
      </c>
      <c r="W57" s="131">
        <f t="shared" si="8"/>
        <v>303988.44772571424</v>
      </c>
      <c r="X57" s="131">
        <f t="shared" si="8"/>
        <v>312787.9200457143</v>
      </c>
      <c r="Y57" s="131">
        <f t="shared" si="8"/>
        <v>297700.88656000001</v>
      </c>
      <c r="Z57" s="131">
        <f t="shared" si="8"/>
        <v>305242.3158628571</v>
      </c>
      <c r="AA57" s="131">
        <f t="shared" si="8"/>
        <v>305240.76386285719</v>
      </c>
      <c r="AB57" s="131">
        <f t="shared" si="8"/>
        <v>316553.60621714289</v>
      </c>
      <c r="AC57" s="131">
        <f t="shared" si="8"/>
        <v>309009.33675428573</v>
      </c>
      <c r="AD57" s="131">
        <f t="shared" si="8"/>
        <v>309007.92443428573</v>
      </c>
      <c r="AE57" s="131">
        <f t="shared" si="8"/>
        <v>311801.14068571426</v>
      </c>
      <c r="AF57" s="133">
        <f t="shared" si="8"/>
        <v>314547.8426514286</v>
      </c>
    </row>
    <row r="58" spans="1:32" x14ac:dyDescent="0.2">
      <c r="B58" s="200"/>
      <c r="C58" s="201"/>
      <c r="D58" s="201"/>
      <c r="E58" s="201"/>
      <c r="F58" s="201"/>
      <c r="G58" s="201"/>
      <c r="H58" s="201"/>
      <c r="I58" s="201"/>
      <c r="J58" s="201"/>
      <c r="K58" s="201"/>
      <c r="L58" s="201"/>
      <c r="M58" s="201"/>
      <c r="N58" s="201"/>
      <c r="O58" s="201"/>
      <c r="P58" s="201"/>
      <c r="Q58" s="201"/>
      <c r="R58" s="201"/>
      <c r="S58" s="201"/>
      <c r="T58" s="201"/>
      <c r="U58" s="201"/>
      <c r="V58" s="201"/>
      <c r="W58" s="201"/>
      <c r="X58" s="201"/>
      <c r="Y58" s="201"/>
      <c r="Z58" s="201"/>
      <c r="AA58" s="201"/>
      <c r="AB58" s="201"/>
      <c r="AC58" s="201"/>
      <c r="AD58" s="201"/>
      <c r="AE58" s="201"/>
      <c r="AF58" s="202"/>
    </row>
    <row r="59" spans="1:32" x14ac:dyDescent="0.2">
      <c r="B59" s="103" t="s">
        <v>59</v>
      </c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110"/>
    </row>
    <row r="60" spans="1:32" ht="15.75" x14ac:dyDescent="0.3">
      <c r="B60" s="99" t="s">
        <v>7</v>
      </c>
      <c r="C60" s="13">
        <f t="shared" ref="C60:AF60" si="9">C57+C54</f>
        <v>270972.3947428572</v>
      </c>
      <c r="D60" s="13">
        <f t="shared" si="9"/>
        <v>277872.38148571429</v>
      </c>
      <c r="E60" s="13">
        <f t="shared" si="9"/>
        <v>281941.8879085714</v>
      </c>
      <c r="F60" s="13">
        <f t="shared" si="9"/>
        <v>277532.74363428575</v>
      </c>
      <c r="G60" s="13">
        <f t="shared" si="9"/>
        <v>281577.94429714285</v>
      </c>
      <c r="H60" s="13">
        <f t="shared" si="9"/>
        <v>280281.68595428573</v>
      </c>
      <c r="I60" s="13">
        <f t="shared" si="9"/>
        <v>278929.3579428572</v>
      </c>
      <c r="J60" s="13">
        <f t="shared" si="9"/>
        <v>280278.89772571431</v>
      </c>
      <c r="K60" s="13">
        <f t="shared" si="9"/>
        <v>281664.35360000003</v>
      </c>
      <c r="L60" s="13">
        <f t="shared" si="9"/>
        <v>278929.87221257144</v>
      </c>
      <c r="M60" s="13">
        <f t="shared" si="9"/>
        <v>288411.9613097143</v>
      </c>
      <c r="N60" s="13">
        <f t="shared" si="9"/>
        <v>284294.7217942857</v>
      </c>
      <c r="O60" s="13">
        <f t="shared" si="9"/>
        <v>285623.91466285713</v>
      </c>
      <c r="P60" s="13">
        <f t="shared" si="9"/>
        <v>294133.53033142863</v>
      </c>
      <c r="Q60" s="13">
        <f t="shared" si="9"/>
        <v>298479.6600617143</v>
      </c>
      <c r="R60" s="13">
        <f t="shared" si="9"/>
        <v>295418.1078262857</v>
      </c>
      <c r="S60" s="13">
        <f t="shared" si="9"/>
        <v>303557.67469714285</v>
      </c>
      <c r="T60" s="13">
        <f t="shared" si="9"/>
        <v>307527.55769142858</v>
      </c>
      <c r="U60" s="13">
        <f t="shared" si="9"/>
        <v>317868.84070857143</v>
      </c>
      <c r="V60" s="13">
        <f t="shared" si="9"/>
        <v>320661.08962285717</v>
      </c>
      <c r="W60" s="13">
        <f t="shared" si="9"/>
        <v>328441.75972571422</v>
      </c>
      <c r="X60" s="13">
        <f t="shared" si="9"/>
        <v>337346.7680457143</v>
      </c>
      <c r="Y60" s="13">
        <f t="shared" si="9"/>
        <v>322523.57456000004</v>
      </c>
      <c r="Z60" s="13">
        <f t="shared" si="9"/>
        <v>330350.57186285709</v>
      </c>
      <c r="AA60" s="13">
        <f t="shared" si="9"/>
        <v>330659.4198628572</v>
      </c>
      <c r="AB60" s="13">
        <f t="shared" si="9"/>
        <v>342260.93421714287</v>
      </c>
      <c r="AC60" s="13">
        <f t="shared" si="9"/>
        <v>334999.12875428575</v>
      </c>
      <c r="AD60" s="13">
        <f t="shared" si="9"/>
        <v>335280.18043428572</v>
      </c>
      <c r="AE60" s="13">
        <f t="shared" si="9"/>
        <v>338355.86068571429</v>
      </c>
      <c r="AF60" s="100">
        <f t="shared" si="9"/>
        <v>341385.0266514286</v>
      </c>
    </row>
    <row r="61" spans="1:32" ht="15.75" x14ac:dyDescent="0.3">
      <c r="B61" s="99" t="s">
        <v>10</v>
      </c>
      <c r="C61" s="282">
        <f t="shared" ref="C61:AF61" si="10">C60/C5</f>
        <v>3.987233589506433E-2</v>
      </c>
      <c r="D61" s="282">
        <f t="shared" si="10"/>
        <v>4.0388427541528236E-2</v>
      </c>
      <c r="E61" s="282">
        <f t="shared" si="10"/>
        <v>4.0608078339128821E-2</v>
      </c>
      <c r="F61" s="282">
        <f t="shared" si="10"/>
        <v>3.9709936133107131E-2</v>
      </c>
      <c r="G61" s="282">
        <f t="shared" si="10"/>
        <v>4.0013918473375425E-2</v>
      </c>
      <c r="H61" s="282">
        <f t="shared" si="10"/>
        <v>3.9582218041842358E-2</v>
      </c>
      <c r="I61" s="282">
        <f t="shared" si="10"/>
        <v>3.925817845782649E-2</v>
      </c>
      <c r="J61" s="282">
        <f t="shared" si="10"/>
        <v>3.9403753370689486E-2</v>
      </c>
      <c r="K61" s="282">
        <f t="shared" si="10"/>
        <v>3.9493038923163214E-2</v>
      </c>
      <c r="L61" s="282">
        <f t="shared" si="10"/>
        <v>3.8918637116306887E-2</v>
      </c>
      <c r="M61" s="282">
        <f t="shared" si="10"/>
        <v>4.0007207838772964E-2</v>
      </c>
      <c r="N61" s="282">
        <f t="shared" si="10"/>
        <v>3.9024670115893716E-2</v>
      </c>
      <c r="O61" s="282">
        <f t="shared" si="10"/>
        <v>3.8897441735374794E-2</v>
      </c>
      <c r="P61" s="282">
        <f t="shared" si="10"/>
        <v>3.9720935898910008E-2</v>
      </c>
      <c r="Q61" s="282">
        <f t="shared" si="10"/>
        <v>4.0042884365671355E-2</v>
      </c>
      <c r="R61" s="282">
        <f t="shared" si="10"/>
        <v>3.9383829866189268E-2</v>
      </c>
      <c r="S61" s="282">
        <f t="shared" si="10"/>
        <v>4.0163756906211018E-2</v>
      </c>
      <c r="T61" s="282">
        <f t="shared" si="10"/>
        <v>4.0363244217276356E-2</v>
      </c>
      <c r="U61" s="282">
        <f t="shared" si="10"/>
        <v>4.1222777941715916E-2</v>
      </c>
      <c r="V61" s="282">
        <f t="shared" si="10"/>
        <v>4.1105126217517905E-2</v>
      </c>
      <c r="W61" s="282">
        <f t="shared" si="10"/>
        <v>4.1691007835201091E-2</v>
      </c>
      <c r="X61" s="282">
        <f t="shared" si="10"/>
        <v>4.2637356931965915E-2</v>
      </c>
      <c r="Y61" s="282">
        <f t="shared" si="10"/>
        <v>4.033057078404402E-2</v>
      </c>
      <c r="Z61" s="282">
        <f t="shared" si="10"/>
        <v>4.0839482242904818E-2</v>
      </c>
      <c r="AA61" s="282">
        <f t="shared" si="10"/>
        <v>4.0378485756851532E-2</v>
      </c>
      <c r="AB61" s="282">
        <f t="shared" si="10"/>
        <v>4.1325879523924518E-2</v>
      </c>
      <c r="AC61" s="282">
        <f t="shared" si="10"/>
        <v>4.0009450466294727E-2</v>
      </c>
      <c r="AD61" s="282">
        <f t="shared" si="10"/>
        <v>3.9612497688360788E-2</v>
      </c>
      <c r="AE61" s="282">
        <f t="shared" si="10"/>
        <v>3.9550655837020957E-2</v>
      </c>
      <c r="AF61" s="283">
        <f t="shared" si="10"/>
        <v>3.948473590694293E-2</v>
      </c>
    </row>
    <row r="62" spans="1:32" ht="13.5" thickBot="1" x14ac:dyDescent="0.25">
      <c r="B62" s="102"/>
      <c r="C62" s="107"/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7"/>
      <c r="AA62" s="107"/>
      <c r="AB62" s="107"/>
      <c r="AC62" s="107"/>
      <c r="AD62" s="107"/>
      <c r="AE62" s="107"/>
      <c r="AF62" s="109"/>
    </row>
    <row r="63" spans="1:32" x14ac:dyDescent="0.2">
      <c r="B63" s="9"/>
    </row>
    <row r="64" spans="1:32" x14ac:dyDescent="0.2">
      <c r="B64" s="9" t="s">
        <v>132</v>
      </c>
    </row>
    <row r="65" spans="2:2" x14ac:dyDescent="0.2">
      <c r="B65" s="9"/>
    </row>
    <row r="66" spans="2:2" x14ac:dyDescent="0.2">
      <c r="B66" s="9"/>
    </row>
    <row r="67" spans="2:2" x14ac:dyDescent="0.2">
      <c r="B67" s="9"/>
    </row>
    <row r="68" spans="2:2" x14ac:dyDescent="0.2">
      <c r="B68" s="9"/>
    </row>
    <row r="69" spans="2:2" x14ac:dyDescent="0.2">
      <c r="B69" s="9"/>
    </row>
    <row r="70" spans="2:2" x14ac:dyDescent="0.2">
      <c r="B70" s="9"/>
    </row>
    <row r="83" spans="2:2" x14ac:dyDescent="0.2">
      <c r="B83" s="36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0"/>
  <sheetViews>
    <sheetView zoomScale="80" zoomScaleNormal="80" workbookViewId="0">
      <pane xSplit="1" ySplit="2" topLeftCell="B15" activePane="bottomRight" state="frozen"/>
      <selection pane="topRight" activeCell="B1" sqref="B1"/>
      <selection pane="bottomLeft" activeCell="A3" sqref="A3"/>
      <selection pane="bottomRight" activeCell="C61" sqref="C61"/>
    </sheetView>
  </sheetViews>
  <sheetFormatPr defaultColWidth="9.140625" defaultRowHeight="12.75" x14ac:dyDescent="0.2"/>
  <cols>
    <col min="1" max="1" width="4.7109375" style="2" customWidth="1"/>
    <col min="2" max="2" width="35.42578125" style="2" customWidth="1"/>
    <col min="3" max="27" width="10.7109375" style="2" customWidth="1"/>
    <col min="28" max="28" width="11.5703125" style="2" customWidth="1"/>
    <col min="29" max="29" width="10.7109375" style="2" customWidth="1"/>
    <col min="30" max="32" width="11.85546875" style="2" customWidth="1"/>
    <col min="33" max="16384" width="9.140625" style="2"/>
  </cols>
  <sheetData>
    <row r="1" spans="2:32" ht="13.5" thickBot="1" x14ac:dyDescent="0.25"/>
    <row r="2" spans="2:32" ht="23.25" customHeight="1" thickBot="1" x14ac:dyDescent="0.25">
      <c r="B2" s="121"/>
      <c r="C2" s="122">
        <v>1990</v>
      </c>
      <c r="D2" s="122">
        <v>1991</v>
      </c>
      <c r="E2" s="122">
        <v>1992</v>
      </c>
      <c r="F2" s="122">
        <v>1993</v>
      </c>
      <c r="G2" s="122">
        <v>1994</v>
      </c>
      <c r="H2" s="122">
        <v>1995</v>
      </c>
      <c r="I2" s="122">
        <v>1996</v>
      </c>
      <c r="J2" s="122">
        <v>1997</v>
      </c>
      <c r="K2" s="122">
        <v>1998</v>
      </c>
      <c r="L2" s="122">
        <v>1999</v>
      </c>
      <c r="M2" s="122">
        <v>2000</v>
      </c>
      <c r="N2" s="122">
        <v>2001</v>
      </c>
      <c r="O2" s="122">
        <v>2002</v>
      </c>
      <c r="P2" s="122">
        <v>2003</v>
      </c>
      <c r="Q2" s="122">
        <v>2004</v>
      </c>
      <c r="R2" s="122">
        <v>2005</v>
      </c>
      <c r="S2" s="122">
        <v>2006</v>
      </c>
      <c r="T2" s="122">
        <v>2007</v>
      </c>
      <c r="U2" s="122">
        <v>2008</v>
      </c>
      <c r="V2" s="122">
        <v>2009</v>
      </c>
      <c r="W2" s="122">
        <v>2010</v>
      </c>
      <c r="X2" s="122">
        <v>2011</v>
      </c>
      <c r="Y2" s="122">
        <v>2012</v>
      </c>
      <c r="Z2" s="122">
        <v>2013</v>
      </c>
      <c r="AA2" s="122">
        <v>2014</v>
      </c>
      <c r="AB2" s="122">
        <v>2015</v>
      </c>
      <c r="AC2" s="122">
        <v>2016</v>
      </c>
      <c r="AD2" s="122">
        <v>2017</v>
      </c>
      <c r="AE2" s="122">
        <v>2018</v>
      </c>
      <c r="AF2" s="123">
        <v>2019</v>
      </c>
    </row>
    <row r="3" spans="2:32" ht="19.5" customHeight="1" x14ac:dyDescent="0.2">
      <c r="B3" s="168" t="s">
        <v>75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70"/>
    </row>
    <row r="4" spans="2:32" x14ac:dyDescent="0.2">
      <c r="B4" s="103" t="s">
        <v>8</v>
      </c>
      <c r="C4" s="3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104"/>
    </row>
    <row r="5" spans="2:32" x14ac:dyDescent="0.2">
      <c r="B5" s="99" t="s">
        <v>9</v>
      </c>
      <c r="C5" s="41">
        <v>6796000</v>
      </c>
      <c r="D5" s="42">
        <v>6880000</v>
      </c>
      <c r="E5" s="42">
        <v>6943000</v>
      </c>
      <c r="F5" s="42">
        <v>6989000</v>
      </c>
      <c r="G5" s="42">
        <v>7037000</v>
      </c>
      <c r="H5" s="42">
        <v>7081000</v>
      </c>
      <c r="I5" s="42">
        <v>7105000</v>
      </c>
      <c r="J5" s="42">
        <v>7113000</v>
      </c>
      <c r="K5" s="42">
        <v>7132000</v>
      </c>
      <c r="L5" s="42">
        <v>7167000</v>
      </c>
      <c r="M5" s="42">
        <v>7209000</v>
      </c>
      <c r="N5" s="42">
        <v>7285000</v>
      </c>
      <c r="O5" s="42">
        <v>7343000</v>
      </c>
      <c r="P5" s="42">
        <v>7405000</v>
      </c>
      <c r="Q5" s="42">
        <v>7454000</v>
      </c>
      <c r="R5" s="42">
        <v>7501000</v>
      </c>
      <c r="S5" s="42">
        <v>7558000</v>
      </c>
      <c r="T5" s="42">
        <v>7619000</v>
      </c>
      <c r="U5" s="42">
        <v>7711000</v>
      </c>
      <c r="V5" s="42">
        <v>7801000</v>
      </c>
      <c r="W5" s="42">
        <v>7878000</v>
      </c>
      <c r="X5" s="42">
        <v>7912000</v>
      </c>
      <c r="Y5" s="42">
        <v>7997000</v>
      </c>
      <c r="Z5" s="42">
        <v>8089000</v>
      </c>
      <c r="AA5" s="42">
        <v>8189000</v>
      </c>
      <c r="AB5" s="42">
        <v>8282000</v>
      </c>
      <c r="AC5" s="42">
        <v>8373000</v>
      </c>
      <c r="AD5" s="42">
        <v>8464000</v>
      </c>
      <c r="AE5" s="42">
        <v>8555000</v>
      </c>
      <c r="AF5" s="110">
        <v>8646000</v>
      </c>
    </row>
    <row r="6" spans="2:32" x14ac:dyDescent="0.2">
      <c r="B6" s="115" t="s">
        <v>156</v>
      </c>
      <c r="C6" s="3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104"/>
    </row>
    <row r="7" spans="2:32" x14ac:dyDescent="0.2">
      <c r="B7" s="97" t="s">
        <v>11</v>
      </c>
      <c r="C7" s="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101"/>
    </row>
    <row r="8" spans="2:32" x14ac:dyDescent="0.2">
      <c r="B8" s="99" t="s">
        <v>12</v>
      </c>
      <c r="C8" s="17">
        <v>0.9</v>
      </c>
      <c r="D8" s="11">
        <v>0.91</v>
      </c>
      <c r="E8" s="11">
        <v>0.91500000000000004</v>
      </c>
      <c r="F8" s="11">
        <v>0.92</v>
      </c>
      <c r="G8" s="11">
        <v>0.93</v>
      </c>
      <c r="H8" s="11">
        <v>0.93500000000000005</v>
      </c>
      <c r="I8" s="11">
        <v>0.94</v>
      </c>
      <c r="J8" s="11">
        <v>0.94499999999999995</v>
      </c>
      <c r="K8" s="11">
        <v>0.95</v>
      </c>
      <c r="L8" s="11">
        <v>0.95299999999999996</v>
      </c>
      <c r="M8" s="11">
        <v>0.95400000000000007</v>
      </c>
      <c r="N8" s="11">
        <v>0.95700000000000007</v>
      </c>
      <c r="O8" s="11">
        <v>0.96</v>
      </c>
      <c r="P8" s="11">
        <v>0.96299999999999997</v>
      </c>
      <c r="Q8" s="11">
        <v>0.96599999999999997</v>
      </c>
      <c r="R8" s="11">
        <v>0.96799999999999997</v>
      </c>
      <c r="S8" s="11">
        <v>0.97</v>
      </c>
      <c r="T8" s="11">
        <v>0.97</v>
      </c>
      <c r="U8" s="11">
        <v>0.97</v>
      </c>
      <c r="V8" s="11">
        <v>0.97</v>
      </c>
      <c r="W8" s="11">
        <v>0.97</v>
      </c>
      <c r="X8" s="11">
        <v>0.97</v>
      </c>
      <c r="Y8" s="11">
        <v>0.97</v>
      </c>
      <c r="Z8" s="11">
        <v>0.97</v>
      </c>
      <c r="AA8" s="11">
        <v>0.97</v>
      </c>
      <c r="AB8" s="11">
        <v>0.97</v>
      </c>
      <c r="AC8" s="11">
        <v>0.97</v>
      </c>
      <c r="AD8" s="11">
        <v>0.97</v>
      </c>
      <c r="AE8" s="11">
        <v>0.97</v>
      </c>
      <c r="AF8" s="112">
        <v>0.97</v>
      </c>
    </row>
    <row r="9" spans="2:32" x14ac:dyDescent="0.2">
      <c r="B9" s="157" t="s">
        <v>118</v>
      </c>
      <c r="C9" s="23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5"/>
    </row>
    <row r="10" spans="2:32" ht="15" x14ac:dyDescent="0.25">
      <c r="B10" s="103" t="s">
        <v>14</v>
      </c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4"/>
      <c r="U10" s="284"/>
      <c r="V10" s="284"/>
      <c r="W10" s="284"/>
      <c r="X10" s="284"/>
      <c r="Y10" s="284"/>
      <c r="Z10" s="284"/>
      <c r="AA10" s="12"/>
      <c r="AB10" s="12"/>
      <c r="AC10" s="12"/>
      <c r="AD10" s="12"/>
      <c r="AE10" s="12"/>
      <c r="AF10" s="118"/>
    </row>
    <row r="11" spans="2:32" x14ac:dyDescent="0.2">
      <c r="B11" s="103" t="s">
        <v>131</v>
      </c>
      <c r="C11" s="18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18"/>
    </row>
    <row r="12" spans="2:32" x14ac:dyDescent="0.2">
      <c r="B12" s="99" t="s">
        <v>15</v>
      </c>
      <c r="C12" s="18">
        <v>1</v>
      </c>
      <c r="D12" s="12">
        <v>1</v>
      </c>
      <c r="E12" s="12">
        <v>1</v>
      </c>
      <c r="F12" s="12">
        <v>1</v>
      </c>
      <c r="G12" s="12">
        <v>1</v>
      </c>
      <c r="H12" s="12">
        <v>1</v>
      </c>
      <c r="I12" s="12">
        <v>1</v>
      </c>
      <c r="J12" s="12">
        <v>1</v>
      </c>
      <c r="K12" s="12">
        <v>1</v>
      </c>
      <c r="L12" s="12">
        <v>1</v>
      </c>
      <c r="M12" s="12">
        <v>1</v>
      </c>
      <c r="N12" s="12">
        <v>1</v>
      </c>
      <c r="O12" s="12">
        <v>1</v>
      </c>
      <c r="P12" s="12">
        <v>1</v>
      </c>
      <c r="Q12" s="12">
        <v>1</v>
      </c>
      <c r="R12" s="12">
        <v>1</v>
      </c>
      <c r="S12" s="12">
        <v>1</v>
      </c>
      <c r="T12" s="12">
        <v>1</v>
      </c>
      <c r="U12" s="12">
        <v>1</v>
      </c>
      <c r="V12" s="12">
        <v>1</v>
      </c>
      <c r="W12" s="12">
        <v>1</v>
      </c>
      <c r="X12" s="12">
        <v>1</v>
      </c>
      <c r="Y12" s="12">
        <v>1</v>
      </c>
      <c r="Z12" s="12">
        <v>1</v>
      </c>
      <c r="AA12" s="12">
        <v>1</v>
      </c>
      <c r="AB12" s="12">
        <v>1</v>
      </c>
      <c r="AC12" s="12">
        <v>1</v>
      </c>
      <c r="AD12" s="12">
        <v>1</v>
      </c>
      <c r="AE12" s="12">
        <v>1</v>
      </c>
      <c r="AF12" s="118">
        <v>1</v>
      </c>
    </row>
    <row r="13" spans="2:32" x14ac:dyDescent="0.2">
      <c r="B13" s="111" t="s">
        <v>16</v>
      </c>
      <c r="C13" s="3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104"/>
    </row>
    <row r="14" spans="2:32" x14ac:dyDescent="0.2">
      <c r="B14" s="97" t="s">
        <v>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101"/>
    </row>
    <row r="15" spans="2:32" x14ac:dyDescent="0.2">
      <c r="B15" s="99" t="s">
        <v>4</v>
      </c>
      <c r="C15" s="27">
        <v>259211</v>
      </c>
      <c r="D15" s="27">
        <v>263586</v>
      </c>
      <c r="E15" s="27">
        <v>265773</v>
      </c>
      <c r="F15" s="27">
        <v>261399</v>
      </c>
      <c r="G15" s="27">
        <v>263586</v>
      </c>
      <c r="H15" s="27">
        <v>262492</v>
      </c>
      <c r="I15" s="27">
        <v>261399</v>
      </c>
      <c r="J15" s="27">
        <v>262492</v>
      </c>
      <c r="K15" s="27">
        <v>263586</v>
      </c>
      <c r="L15" s="27">
        <v>261399</v>
      </c>
      <c r="M15" s="27">
        <v>267961</v>
      </c>
      <c r="N15" s="27">
        <v>263586</v>
      </c>
      <c r="O15" s="27">
        <v>263586</v>
      </c>
      <c r="P15" s="27">
        <v>270148</v>
      </c>
      <c r="Q15" s="27">
        <v>273429</v>
      </c>
      <c r="R15" s="27">
        <v>272336</v>
      </c>
      <c r="S15" s="27">
        <v>279992</v>
      </c>
      <c r="T15" s="27">
        <v>283000</v>
      </c>
      <c r="U15" s="27">
        <v>291000</v>
      </c>
      <c r="V15" s="27">
        <v>293000</v>
      </c>
      <c r="W15" s="27">
        <v>299000</v>
      </c>
      <c r="X15" s="27">
        <v>306000</v>
      </c>
      <c r="Y15" s="27">
        <v>294000</v>
      </c>
      <c r="Z15" s="27">
        <v>300000</v>
      </c>
      <c r="AA15" s="27">
        <v>300000</v>
      </c>
      <c r="AB15" s="27">
        <v>309000</v>
      </c>
      <c r="AC15" s="27">
        <v>303000</v>
      </c>
      <c r="AD15" s="27">
        <v>303000</v>
      </c>
      <c r="AE15" s="27">
        <v>305223</v>
      </c>
      <c r="AF15" s="114">
        <v>307409</v>
      </c>
    </row>
    <row r="16" spans="2:32" x14ac:dyDescent="0.2">
      <c r="B16" s="111" t="s">
        <v>121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104"/>
    </row>
    <row r="17" spans="2:32" x14ac:dyDescent="0.2">
      <c r="B17" s="115" t="s">
        <v>1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16"/>
    </row>
    <row r="18" spans="2:32" x14ac:dyDescent="0.2">
      <c r="B18" s="103" t="s">
        <v>2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104"/>
    </row>
    <row r="19" spans="2:32" x14ac:dyDescent="0.2">
      <c r="B19" s="99" t="s">
        <v>3</v>
      </c>
      <c r="C19" s="9">
        <v>0.16</v>
      </c>
      <c r="D19" s="9">
        <v>0.16</v>
      </c>
      <c r="E19" s="9">
        <v>0.16</v>
      </c>
      <c r="F19" s="9">
        <v>0.16</v>
      </c>
      <c r="G19" s="9">
        <v>0.16</v>
      </c>
      <c r="H19" s="9">
        <v>0.16</v>
      </c>
      <c r="I19" s="9">
        <v>0.16</v>
      </c>
      <c r="J19" s="9">
        <v>0.16</v>
      </c>
      <c r="K19" s="9">
        <v>0.16</v>
      </c>
      <c r="L19" s="9">
        <v>0.16</v>
      </c>
      <c r="M19" s="9">
        <v>0.16</v>
      </c>
      <c r="N19" s="9">
        <v>0.16</v>
      </c>
      <c r="O19" s="9">
        <v>0.16</v>
      </c>
      <c r="P19" s="9">
        <v>0.16</v>
      </c>
      <c r="Q19" s="9">
        <v>0.16</v>
      </c>
      <c r="R19" s="9">
        <v>0.16</v>
      </c>
      <c r="S19" s="9">
        <v>0.16</v>
      </c>
      <c r="T19" s="9">
        <v>0.16</v>
      </c>
      <c r="U19" s="9">
        <v>0.16</v>
      </c>
      <c r="V19" s="9">
        <v>0.16</v>
      </c>
      <c r="W19" s="9">
        <v>0.16</v>
      </c>
      <c r="X19" s="9">
        <v>0.16</v>
      </c>
      <c r="Y19" s="9">
        <v>0.16</v>
      </c>
      <c r="Z19" s="9">
        <v>0.16</v>
      </c>
      <c r="AA19" s="9">
        <v>0.16</v>
      </c>
      <c r="AB19" s="9">
        <v>0.16</v>
      </c>
      <c r="AC19" s="9">
        <v>0.16</v>
      </c>
      <c r="AD19" s="9">
        <v>0.16</v>
      </c>
      <c r="AE19" s="9">
        <v>0.16</v>
      </c>
      <c r="AF19" s="104">
        <v>0.16</v>
      </c>
    </row>
    <row r="20" spans="2:32" x14ac:dyDescent="0.2">
      <c r="B20" s="111" t="s">
        <v>125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104"/>
    </row>
    <row r="21" spans="2:32" x14ac:dyDescent="0.2">
      <c r="B21" s="97" t="s">
        <v>18</v>
      </c>
      <c r="C21" s="7"/>
      <c r="D21" s="7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7"/>
      <c r="X21" s="7"/>
      <c r="Y21" s="7"/>
      <c r="Z21" s="7"/>
      <c r="AA21" s="7"/>
      <c r="AB21" s="7"/>
      <c r="AC21" s="7"/>
      <c r="AD21" s="7"/>
      <c r="AE21" s="7"/>
      <c r="AF21" s="101"/>
    </row>
    <row r="22" spans="2:32" x14ac:dyDescent="0.2">
      <c r="B22" s="99" t="s">
        <v>15</v>
      </c>
      <c r="C22" s="9">
        <v>1</v>
      </c>
      <c r="D22" s="9">
        <v>1</v>
      </c>
      <c r="E22" s="22">
        <v>1</v>
      </c>
      <c r="F22" s="22">
        <v>1</v>
      </c>
      <c r="G22" s="22">
        <v>1</v>
      </c>
      <c r="H22" s="22">
        <v>1</v>
      </c>
      <c r="I22" s="22">
        <v>1</v>
      </c>
      <c r="J22" s="22">
        <v>1</v>
      </c>
      <c r="K22" s="22">
        <v>1</v>
      </c>
      <c r="L22" s="22">
        <v>1</v>
      </c>
      <c r="M22" s="22">
        <v>1</v>
      </c>
      <c r="N22" s="22">
        <v>1</v>
      </c>
      <c r="O22" s="22">
        <v>1</v>
      </c>
      <c r="P22" s="22">
        <v>1</v>
      </c>
      <c r="Q22" s="22">
        <v>1</v>
      </c>
      <c r="R22" s="22">
        <v>1</v>
      </c>
      <c r="S22" s="22">
        <v>1</v>
      </c>
      <c r="T22" s="22">
        <v>1</v>
      </c>
      <c r="U22" s="22">
        <v>1</v>
      </c>
      <c r="V22" s="22">
        <v>1</v>
      </c>
      <c r="W22" s="22">
        <v>1</v>
      </c>
      <c r="X22" s="9">
        <v>1</v>
      </c>
      <c r="Y22" s="9">
        <v>1</v>
      </c>
      <c r="Z22" s="9">
        <v>1</v>
      </c>
      <c r="AA22" s="9">
        <v>1</v>
      </c>
      <c r="AB22" s="9">
        <v>1</v>
      </c>
      <c r="AC22" s="9">
        <v>1</v>
      </c>
      <c r="AD22" s="9">
        <v>1</v>
      </c>
      <c r="AE22" s="9">
        <v>1</v>
      </c>
      <c r="AF22" s="104">
        <v>1</v>
      </c>
    </row>
    <row r="23" spans="2:32" x14ac:dyDescent="0.2">
      <c r="B23" s="115" t="s">
        <v>16</v>
      </c>
      <c r="C23" s="14"/>
      <c r="D23" s="14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14"/>
      <c r="Y23" s="14"/>
      <c r="Z23" s="14"/>
      <c r="AA23" s="14"/>
      <c r="AB23" s="14"/>
      <c r="AC23" s="14"/>
      <c r="AD23" s="14"/>
      <c r="AE23" s="14"/>
      <c r="AF23" s="116"/>
    </row>
    <row r="24" spans="2:32" x14ac:dyDescent="0.2">
      <c r="B24" s="103" t="s">
        <v>144</v>
      </c>
      <c r="C24" s="9"/>
      <c r="D24" s="9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9"/>
      <c r="Y24" s="9"/>
      <c r="Z24" s="9"/>
      <c r="AA24" s="9"/>
      <c r="AB24" s="9"/>
      <c r="AC24" s="9"/>
      <c r="AD24" s="9"/>
      <c r="AE24" s="9"/>
      <c r="AF24" s="104"/>
    </row>
    <row r="25" spans="2:32" x14ac:dyDescent="0.2">
      <c r="B25" s="111" t="s">
        <v>145</v>
      </c>
      <c r="C25" s="9"/>
      <c r="D25" s="9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9"/>
      <c r="Y25" s="9"/>
      <c r="Z25" s="9"/>
      <c r="AA25" s="9"/>
      <c r="AB25" s="9"/>
      <c r="AC25" s="9"/>
      <c r="AD25" s="9"/>
      <c r="AE25" s="9"/>
      <c r="AF25" s="104"/>
    </row>
    <row r="26" spans="2:32" x14ac:dyDescent="0.2">
      <c r="B26" s="99" t="s">
        <v>15</v>
      </c>
      <c r="C26" s="9">
        <v>1.1000000000000001</v>
      </c>
      <c r="D26" s="9">
        <v>1.1000000000000001</v>
      </c>
      <c r="E26" s="22">
        <v>1.1000000000000001</v>
      </c>
      <c r="F26" s="22">
        <v>1.1000000000000001</v>
      </c>
      <c r="G26" s="22">
        <v>1.1000000000000001</v>
      </c>
      <c r="H26" s="22">
        <v>1.1000000000000001</v>
      </c>
      <c r="I26" s="22">
        <v>1.1000000000000001</v>
      </c>
      <c r="J26" s="22">
        <v>1.1000000000000001</v>
      </c>
      <c r="K26" s="22">
        <v>1.1000000000000001</v>
      </c>
      <c r="L26" s="22">
        <v>1.1000000000000001</v>
      </c>
      <c r="M26" s="22">
        <v>1.1000000000000001</v>
      </c>
      <c r="N26" s="22">
        <v>1.1000000000000001</v>
      </c>
      <c r="O26" s="22">
        <v>1.1000000000000001</v>
      </c>
      <c r="P26" s="22">
        <v>1.1000000000000001</v>
      </c>
      <c r="Q26" s="22">
        <v>1.1000000000000001</v>
      </c>
      <c r="R26" s="22">
        <v>1.1000000000000001</v>
      </c>
      <c r="S26" s="22">
        <v>1.1000000000000001</v>
      </c>
      <c r="T26" s="22">
        <v>1.1000000000000001</v>
      </c>
      <c r="U26" s="22">
        <v>1.1000000000000001</v>
      </c>
      <c r="V26" s="22">
        <v>1.1000000000000001</v>
      </c>
      <c r="W26" s="22">
        <v>1.1000000000000001</v>
      </c>
      <c r="X26" s="9">
        <v>1.1000000000000001</v>
      </c>
      <c r="Y26" s="9">
        <v>1.1000000000000001</v>
      </c>
      <c r="Z26" s="9">
        <v>1.1000000000000001</v>
      </c>
      <c r="AA26" s="9">
        <v>1.1000000000000001</v>
      </c>
      <c r="AB26" s="9">
        <v>1.1000000000000001</v>
      </c>
      <c r="AC26" s="9">
        <v>1.1000000000000001</v>
      </c>
      <c r="AD26" s="9">
        <v>1.1000000000000001</v>
      </c>
      <c r="AE26" s="9">
        <v>1.1000000000000001</v>
      </c>
      <c r="AF26" s="104">
        <v>1.1000000000000001</v>
      </c>
    </row>
    <row r="27" spans="2:32" x14ac:dyDescent="0.2">
      <c r="B27" s="111"/>
      <c r="C27" s="9"/>
      <c r="D27" s="9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9"/>
      <c r="Y27" s="9"/>
      <c r="Z27" s="9"/>
      <c r="AA27" s="9"/>
      <c r="AB27" s="9"/>
      <c r="AC27" s="9"/>
      <c r="AD27" s="9"/>
      <c r="AE27" s="9"/>
      <c r="AF27" s="104"/>
    </row>
    <row r="28" spans="2:32" x14ac:dyDescent="0.2">
      <c r="B28" s="97" t="s">
        <v>14</v>
      </c>
      <c r="C28" s="81"/>
      <c r="D28" s="81"/>
      <c r="E28" s="203"/>
      <c r="F28" s="203"/>
      <c r="G28" s="203"/>
      <c r="H28" s="203"/>
      <c r="I28" s="203"/>
      <c r="J28" s="203"/>
      <c r="K28" s="203"/>
      <c r="L28" s="203"/>
      <c r="M28" s="203"/>
      <c r="N28" s="203"/>
      <c r="O28" s="203"/>
      <c r="P28" s="203"/>
      <c r="Q28" s="203"/>
      <c r="R28" s="203"/>
      <c r="S28" s="203"/>
      <c r="T28" s="203"/>
      <c r="U28" s="203"/>
      <c r="V28" s="203"/>
      <c r="W28" s="203"/>
      <c r="X28" s="81"/>
      <c r="Y28" s="81"/>
      <c r="Z28" s="81"/>
      <c r="AA28" s="81"/>
      <c r="AB28" s="81"/>
      <c r="AC28" s="81"/>
      <c r="AD28" s="81"/>
      <c r="AE28" s="81"/>
      <c r="AF28" s="117"/>
    </row>
    <row r="29" spans="2:32" x14ac:dyDescent="0.2">
      <c r="B29" s="103" t="s">
        <v>131</v>
      </c>
      <c r="C29" s="12"/>
      <c r="D29" s="12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12"/>
      <c r="Y29" s="12"/>
      <c r="Z29" s="12"/>
      <c r="AA29" s="12"/>
      <c r="AB29" s="12"/>
      <c r="AC29" s="12"/>
      <c r="AD29" s="12"/>
      <c r="AE29" s="12"/>
      <c r="AF29" s="118"/>
    </row>
    <row r="30" spans="2:32" x14ac:dyDescent="0.2">
      <c r="B30" s="99" t="s">
        <v>15</v>
      </c>
      <c r="C30" s="12">
        <v>1</v>
      </c>
      <c r="D30" s="12">
        <v>1</v>
      </c>
      <c r="E30" s="23">
        <v>1</v>
      </c>
      <c r="F30" s="23">
        <v>1</v>
      </c>
      <c r="G30" s="23">
        <v>1</v>
      </c>
      <c r="H30" s="23">
        <v>1</v>
      </c>
      <c r="I30" s="23">
        <v>1</v>
      </c>
      <c r="J30" s="23">
        <v>1</v>
      </c>
      <c r="K30" s="23">
        <v>1</v>
      </c>
      <c r="L30" s="23">
        <v>1</v>
      </c>
      <c r="M30" s="23">
        <v>1</v>
      </c>
      <c r="N30" s="23">
        <v>1</v>
      </c>
      <c r="O30" s="23">
        <v>1</v>
      </c>
      <c r="P30" s="23">
        <v>1</v>
      </c>
      <c r="Q30" s="23">
        <v>1</v>
      </c>
      <c r="R30" s="23">
        <v>1</v>
      </c>
      <c r="S30" s="23">
        <v>1</v>
      </c>
      <c r="T30" s="23">
        <v>1</v>
      </c>
      <c r="U30" s="23">
        <v>1</v>
      </c>
      <c r="V30" s="23">
        <v>1</v>
      </c>
      <c r="W30" s="23">
        <v>1</v>
      </c>
      <c r="X30" s="12">
        <v>1</v>
      </c>
      <c r="Y30" s="12">
        <v>1</v>
      </c>
      <c r="Z30" s="12">
        <v>1</v>
      </c>
      <c r="AA30" s="12">
        <v>1</v>
      </c>
      <c r="AB30" s="12">
        <v>1</v>
      </c>
      <c r="AC30" s="12">
        <v>1</v>
      </c>
      <c r="AD30" s="12">
        <v>1</v>
      </c>
      <c r="AE30" s="12">
        <v>1</v>
      </c>
      <c r="AF30" s="118">
        <v>1</v>
      </c>
    </row>
    <row r="31" spans="2:32" x14ac:dyDescent="0.2">
      <c r="B31" s="115" t="s">
        <v>16</v>
      </c>
      <c r="C31" s="14"/>
      <c r="D31" s="14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14"/>
      <c r="X31" s="14"/>
      <c r="Y31" s="14"/>
      <c r="Z31" s="14"/>
      <c r="AA31" s="14"/>
      <c r="AB31" s="14"/>
      <c r="AC31" s="14"/>
      <c r="AD31" s="14"/>
      <c r="AE31" s="14"/>
      <c r="AF31" s="116"/>
    </row>
    <row r="32" spans="2:32" x14ac:dyDescent="0.2">
      <c r="B32" s="103" t="s">
        <v>19</v>
      </c>
      <c r="C32" s="9"/>
      <c r="D32" s="9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9"/>
      <c r="X32" s="9"/>
      <c r="Y32" s="9"/>
      <c r="Z32" s="9"/>
      <c r="AA32" s="9"/>
      <c r="AB32" s="9"/>
      <c r="AC32" s="9"/>
      <c r="AD32" s="9"/>
      <c r="AE32" s="9"/>
      <c r="AF32" s="104"/>
    </row>
    <row r="33" spans="2:32" x14ac:dyDescent="0.2">
      <c r="B33" s="96" t="s">
        <v>5</v>
      </c>
      <c r="C33" s="317">
        <f t="shared" ref="C33:AE33" si="0">C15*C26*C19*C22*C30*1000</f>
        <v>45621136.000000007</v>
      </c>
      <c r="D33" s="204">
        <f>D15*D26*D19*D22*D30*1000</f>
        <v>46391136.000000007</v>
      </c>
      <c r="E33" s="323">
        <f t="shared" si="0"/>
        <v>46776048.000000007</v>
      </c>
      <c r="F33" s="323">
        <f t="shared" si="0"/>
        <v>46006224</v>
      </c>
      <c r="G33" s="323">
        <f t="shared" si="0"/>
        <v>46391136.000000007</v>
      </c>
      <c r="H33" s="323">
        <f t="shared" si="0"/>
        <v>46198592.000000007</v>
      </c>
      <c r="I33" s="323">
        <f t="shared" si="0"/>
        <v>46006224</v>
      </c>
      <c r="J33" s="323">
        <f t="shared" si="0"/>
        <v>46198592.000000007</v>
      </c>
      <c r="K33" s="323">
        <f t="shared" si="0"/>
        <v>46391136.000000007</v>
      </c>
      <c r="L33" s="323">
        <f t="shared" si="0"/>
        <v>46006224</v>
      </c>
      <c r="M33" s="323">
        <f t="shared" si="0"/>
        <v>47161136.000000007</v>
      </c>
      <c r="N33" s="323">
        <f t="shared" si="0"/>
        <v>46391136.000000007</v>
      </c>
      <c r="O33" s="323">
        <f t="shared" si="0"/>
        <v>46391136.000000007</v>
      </c>
      <c r="P33" s="323">
        <f t="shared" si="0"/>
        <v>47546048.000000007</v>
      </c>
      <c r="Q33" s="323">
        <f t="shared" si="0"/>
        <v>48123504.000000007</v>
      </c>
      <c r="R33" s="323">
        <f t="shared" si="0"/>
        <v>47931136.000000007</v>
      </c>
      <c r="S33" s="323">
        <f t="shared" si="0"/>
        <v>49278592.000000007</v>
      </c>
      <c r="T33" s="323">
        <f t="shared" si="0"/>
        <v>49808000</v>
      </c>
      <c r="U33" s="323">
        <f t="shared" si="0"/>
        <v>51216000</v>
      </c>
      <c r="V33" s="323">
        <f t="shared" si="0"/>
        <v>51568000</v>
      </c>
      <c r="W33" s="204">
        <f t="shared" si="0"/>
        <v>52624000</v>
      </c>
      <c r="X33" s="204">
        <f t="shared" si="0"/>
        <v>53856000</v>
      </c>
      <c r="Y33" s="204">
        <f t="shared" si="0"/>
        <v>51744000</v>
      </c>
      <c r="Z33" s="204">
        <f t="shared" si="0"/>
        <v>52800000</v>
      </c>
      <c r="AA33" s="204">
        <f t="shared" si="0"/>
        <v>52800000</v>
      </c>
      <c r="AB33" s="204">
        <f t="shared" si="0"/>
        <v>54384000</v>
      </c>
      <c r="AC33" s="204">
        <f t="shared" si="0"/>
        <v>53328000</v>
      </c>
      <c r="AD33" s="204">
        <f t="shared" si="0"/>
        <v>53328000</v>
      </c>
      <c r="AE33" s="204">
        <f t="shared" si="0"/>
        <v>53719248.000000007</v>
      </c>
      <c r="AF33" s="205">
        <f>AF15*AF26*AF19*AF22*AF30*1000</f>
        <v>54103984.000000007</v>
      </c>
    </row>
    <row r="34" spans="2:32" x14ac:dyDescent="0.2">
      <c r="B34" s="156" t="s">
        <v>50</v>
      </c>
      <c r="C34" s="27"/>
      <c r="D34" s="10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10"/>
      <c r="X34" s="10"/>
      <c r="Y34" s="10"/>
      <c r="Z34" s="10"/>
      <c r="AA34" s="10"/>
      <c r="AB34" s="10"/>
      <c r="AC34" s="10"/>
      <c r="AD34" s="10"/>
      <c r="AE34" s="10"/>
      <c r="AF34" s="273"/>
    </row>
    <row r="35" spans="2:32" x14ac:dyDescent="0.2">
      <c r="B35" s="141" t="s">
        <v>15</v>
      </c>
      <c r="C35" s="31">
        <v>0.10729999999999563</v>
      </c>
      <c r="D35" s="31">
        <v>0.13956999999999425</v>
      </c>
      <c r="E35" s="193">
        <v>0.17183999999999286</v>
      </c>
      <c r="F35" s="193">
        <v>0.20411000000000057</v>
      </c>
      <c r="G35" s="193">
        <v>0.2363799999999992</v>
      </c>
      <c r="H35" s="193">
        <v>0.26864999999999783</v>
      </c>
      <c r="I35" s="193">
        <v>0.30091999999999641</v>
      </c>
      <c r="J35" s="193">
        <v>0.30772699999999986</v>
      </c>
      <c r="K35" s="193">
        <v>0.32081799999999933</v>
      </c>
      <c r="L35" s="193">
        <v>0.33390899999999873</v>
      </c>
      <c r="M35" s="193">
        <v>0.3469999999999982</v>
      </c>
      <c r="N35" s="193">
        <v>0.36009099999999761</v>
      </c>
      <c r="O35" s="193">
        <v>0.37318199999999707</v>
      </c>
      <c r="P35" s="193">
        <v>0.38627299999999648</v>
      </c>
      <c r="Q35" s="193">
        <v>0.3993640000000005</v>
      </c>
      <c r="R35" s="193">
        <v>0.41245499999999991</v>
      </c>
      <c r="S35" s="193">
        <v>0.42554599999999937</v>
      </c>
      <c r="T35" s="193">
        <v>0.43863699999999883</v>
      </c>
      <c r="U35" s="193">
        <v>0.45172799999999824</v>
      </c>
      <c r="V35" s="193">
        <v>0.46481899999999771</v>
      </c>
      <c r="W35" s="31">
        <v>0.47790999999999711</v>
      </c>
      <c r="X35" s="31">
        <v>0.4919780000000003</v>
      </c>
      <c r="Y35" s="31">
        <v>0.49677600000000099</v>
      </c>
      <c r="Z35" s="31">
        <v>0.50157400000000052</v>
      </c>
      <c r="AA35" s="31">
        <v>0.50637200000000004</v>
      </c>
      <c r="AB35" s="31">
        <v>0.51117000000000079</v>
      </c>
      <c r="AC35" s="31">
        <v>0.51596800000000032</v>
      </c>
      <c r="AD35" s="31">
        <v>0.52076600000000095</v>
      </c>
      <c r="AE35" s="31">
        <v>0.52556400000000059</v>
      </c>
      <c r="AF35" s="312">
        <v>0.53036200000000011</v>
      </c>
    </row>
    <row r="36" spans="2:32" x14ac:dyDescent="0.2">
      <c r="B36" s="157" t="s">
        <v>163</v>
      </c>
      <c r="C36" s="27"/>
      <c r="D36" s="10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10"/>
      <c r="X36" s="10"/>
      <c r="Y36" s="10"/>
      <c r="Z36" s="10"/>
      <c r="AA36" s="10"/>
      <c r="AB36" s="10"/>
      <c r="AC36" s="10"/>
      <c r="AD36" s="10"/>
      <c r="AE36" s="10"/>
      <c r="AF36" s="273"/>
    </row>
    <row r="37" spans="2:32" x14ac:dyDescent="0.2">
      <c r="B37" s="97" t="s">
        <v>20</v>
      </c>
      <c r="C37" s="7"/>
      <c r="D37" s="7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7"/>
      <c r="X37" s="7"/>
      <c r="Y37" s="7"/>
      <c r="Z37" s="7"/>
      <c r="AA37" s="7"/>
      <c r="AB37" s="7"/>
      <c r="AC37" s="7"/>
      <c r="AD37" s="7"/>
      <c r="AE37" s="7"/>
      <c r="AF37" s="101"/>
    </row>
    <row r="38" spans="2:32" x14ac:dyDescent="0.2">
      <c r="B38" s="96" t="s">
        <v>21</v>
      </c>
      <c r="C38" s="204">
        <f>C33*C35</f>
        <v>4895147.8927998021</v>
      </c>
      <c r="D38" s="204">
        <f t="shared" ref="D38:AF38" si="1">D33*D35</f>
        <v>6474810.8515197346</v>
      </c>
      <c r="E38" s="204">
        <f t="shared" si="1"/>
        <v>8037996.0883196676</v>
      </c>
      <c r="F38" s="204">
        <f t="shared" si="1"/>
        <v>9390330.3806400262</v>
      </c>
      <c r="G38" s="204">
        <f t="shared" si="1"/>
        <v>10965936.727679964</v>
      </c>
      <c r="H38" s="204">
        <f t="shared" si="1"/>
        <v>12411251.740799902</v>
      </c>
      <c r="I38" s="204">
        <f t="shared" si="1"/>
        <v>13844192.926079836</v>
      </c>
      <c r="J38" s="204">
        <f t="shared" si="1"/>
        <v>14216554.120383997</v>
      </c>
      <c r="K38" s="204">
        <f t="shared" si="1"/>
        <v>14883111.469247971</v>
      </c>
      <c r="L38" s="204">
        <f t="shared" si="1"/>
        <v>15361892.249615941</v>
      </c>
      <c r="M38" s="204">
        <f t="shared" si="1"/>
        <v>16364914.191999918</v>
      </c>
      <c r="N38" s="204">
        <f t="shared" si="1"/>
        <v>16705030.553375892</v>
      </c>
      <c r="O38" s="204">
        <f t="shared" si="1"/>
        <v>17312336.914751869</v>
      </c>
      <c r="P38" s="204">
        <f t="shared" si="1"/>
        <v>18365754.599103834</v>
      </c>
      <c r="Q38" s="204">
        <f t="shared" si="1"/>
        <v>19218795.051456027</v>
      </c>
      <c r="R38" s="204">
        <f t="shared" si="1"/>
        <v>19769436.698879998</v>
      </c>
      <c r="S38" s="204">
        <f t="shared" si="1"/>
        <v>20970307.711231973</v>
      </c>
      <c r="T38" s="204">
        <f t="shared" si="1"/>
        <v>21847631.695999943</v>
      </c>
      <c r="U38" s="204">
        <f t="shared" si="1"/>
        <v>23135701.24799991</v>
      </c>
      <c r="V38" s="204">
        <f t="shared" si="1"/>
        <v>23969786.191999882</v>
      </c>
      <c r="W38" s="204">
        <f t="shared" si="1"/>
        <v>25149535.839999847</v>
      </c>
      <c r="X38" s="204">
        <f t="shared" si="1"/>
        <v>26495967.168000016</v>
      </c>
      <c r="Y38" s="204">
        <f t="shared" si="1"/>
        <v>25705177.344000053</v>
      </c>
      <c r="Z38" s="204">
        <f t="shared" si="1"/>
        <v>26483107.200000029</v>
      </c>
      <c r="AA38" s="204">
        <f t="shared" si="1"/>
        <v>26736441.600000001</v>
      </c>
      <c r="AB38" s="204">
        <f t="shared" si="1"/>
        <v>27799469.280000042</v>
      </c>
      <c r="AC38" s="204">
        <f t="shared" si="1"/>
        <v>27515541.504000016</v>
      </c>
      <c r="AD38" s="204">
        <f t="shared" si="1"/>
        <v>27771409.248000052</v>
      </c>
      <c r="AE38" s="204">
        <f t="shared" si="1"/>
        <v>28232902.855872035</v>
      </c>
      <c r="AF38" s="205">
        <f t="shared" si="1"/>
        <v>28694697.16220801</v>
      </c>
    </row>
    <row r="39" spans="2:32" x14ac:dyDescent="0.2">
      <c r="B39" s="103" t="s">
        <v>22</v>
      </c>
      <c r="C39" s="31"/>
      <c r="D39" s="9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9"/>
      <c r="X39" s="9"/>
      <c r="Y39" s="9"/>
      <c r="Z39" s="9"/>
      <c r="AA39" s="9"/>
      <c r="AB39" s="9"/>
      <c r="AC39" s="9"/>
      <c r="AD39" s="9"/>
      <c r="AE39" s="9"/>
      <c r="AF39" s="104"/>
    </row>
    <row r="40" spans="2:32" x14ac:dyDescent="0.2">
      <c r="B40" s="99" t="s">
        <v>4</v>
      </c>
      <c r="C40" s="27">
        <v>212600</v>
      </c>
      <c r="D40" s="27">
        <v>212200</v>
      </c>
      <c r="E40" s="28">
        <v>211800</v>
      </c>
      <c r="F40" s="28">
        <v>211400</v>
      </c>
      <c r="G40" s="28">
        <v>211000</v>
      </c>
      <c r="H40" s="28">
        <v>210600</v>
      </c>
      <c r="I40" s="28">
        <v>210200</v>
      </c>
      <c r="J40" s="28">
        <v>209800</v>
      </c>
      <c r="K40" s="28">
        <v>209400</v>
      </c>
      <c r="L40" s="28">
        <v>209000</v>
      </c>
      <c r="M40" s="28">
        <v>205833.33333333334</v>
      </c>
      <c r="N40" s="28">
        <v>202666.66666666669</v>
      </c>
      <c r="O40" s="28">
        <v>199500</v>
      </c>
      <c r="P40" s="28">
        <v>199500</v>
      </c>
      <c r="Q40" s="28">
        <v>199500</v>
      </c>
      <c r="R40" s="28">
        <v>205000</v>
      </c>
      <c r="S40" s="28">
        <v>210000</v>
      </c>
      <c r="T40" s="28">
        <v>210000</v>
      </c>
      <c r="U40" s="28">
        <v>210000</v>
      </c>
      <c r="V40" s="28">
        <v>210000</v>
      </c>
      <c r="W40" s="27">
        <v>210000</v>
      </c>
      <c r="X40" s="27">
        <v>210000</v>
      </c>
      <c r="Y40" s="27">
        <v>210000</v>
      </c>
      <c r="Z40" s="27">
        <v>210000</v>
      </c>
      <c r="AA40" s="27">
        <v>210000</v>
      </c>
      <c r="AB40" s="27">
        <v>210000</v>
      </c>
      <c r="AC40" s="27">
        <v>210000</v>
      </c>
      <c r="AD40" s="27">
        <v>210000</v>
      </c>
      <c r="AE40" s="27">
        <v>210000</v>
      </c>
      <c r="AF40" s="114">
        <v>210000</v>
      </c>
    </row>
    <row r="41" spans="2:32" x14ac:dyDescent="0.2">
      <c r="B41" s="111" t="s">
        <v>23</v>
      </c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9"/>
      <c r="Y41" s="9"/>
      <c r="Z41" s="9"/>
      <c r="AA41" s="9"/>
      <c r="AB41" s="9"/>
      <c r="AC41" s="9"/>
      <c r="AD41" s="9"/>
      <c r="AE41" s="9"/>
      <c r="AF41" s="104"/>
    </row>
    <row r="42" spans="2:32" x14ac:dyDescent="0.2">
      <c r="B42" s="111" t="s">
        <v>24</v>
      </c>
      <c r="C42" s="9"/>
      <c r="D42" s="9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9"/>
      <c r="X42" s="9"/>
      <c r="Y42" s="9"/>
      <c r="Z42" s="9"/>
      <c r="AA42" s="9"/>
      <c r="AB42" s="9"/>
      <c r="AC42" s="9"/>
      <c r="AD42" s="9"/>
      <c r="AE42" s="9"/>
      <c r="AF42" s="104"/>
    </row>
    <row r="43" spans="2:32" x14ac:dyDescent="0.2">
      <c r="B43" s="111" t="s">
        <v>158</v>
      </c>
      <c r="C43" s="9"/>
      <c r="D43" s="9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9"/>
      <c r="X43" s="9"/>
      <c r="Y43" s="9"/>
      <c r="Z43" s="9"/>
      <c r="AA43" s="9"/>
      <c r="AB43" s="9"/>
      <c r="AC43" s="9"/>
      <c r="AD43" s="9"/>
      <c r="AE43" s="9"/>
      <c r="AF43" s="104"/>
    </row>
    <row r="44" spans="2:32" x14ac:dyDescent="0.2">
      <c r="B44" s="97" t="s">
        <v>25</v>
      </c>
      <c r="C44" s="7"/>
      <c r="D44" s="7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7"/>
      <c r="X44" s="7"/>
      <c r="Y44" s="7"/>
      <c r="Z44" s="7"/>
      <c r="AA44" s="7"/>
      <c r="AB44" s="7"/>
      <c r="AC44" s="7"/>
      <c r="AD44" s="7"/>
      <c r="AE44" s="7"/>
      <c r="AF44" s="101"/>
    </row>
    <row r="45" spans="2:32" x14ac:dyDescent="0.2">
      <c r="B45" s="99" t="s">
        <v>26</v>
      </c>
      <c r="C45" s="9">
        <v>4.4519999999999997E-2</v>
      </c>
      <c r="D45" s="9">
        <v>4.4039999999999996E-2</v>
      </c>
      <c r="E45" s="22">
        <v>4.3506000000000003E-2</v>
      </c>
      <c r="F45" s="22">
        <v>4.308E-2</v>
      </c>
      <c r="G45" s="22">
        <v>4.2599999999999999E-2</v>
      </c>
      <c r="H45" s="21">
        <v>4.2779999999999999E-2</v>
      </c>
      <c r="I45" s="22">
        <v>4.2960000000000005E-2</v>
      </c>
      <c r="J45" s="22">
        <v>4.3139999999999998E-2</v>
      </c>
      <c r="K45" s="22">
        <v>4.3319999999999997E-2</v>
      </c>
      <c r="L45" s="22">
        <v>4.3499999999999997E-2</v>
      </c>
      <c r="M45" s="22">
        <v>4.3499999999999997E-2</v>
      </c>
      <c r="N45" s="22">
        <v>4.3499999999999997E-2</v>
      </c>
      <c r="O45" s="22">
        <v>4.3499999999999997E-2</v>
      </c>
      <c r="P45" s="22">
        <v>4.3499999999999997E-2</v>
      </c>
      <c r="Q45" s="22">
        <v>4.3499999999999997E-2</v>
      </c>
      <c r="R45" s="22">
        <v>4.3499999999999997E-2</v>
      </c>
      <c r="S45" s="22">
        <v>4.3499999999999997E-2</v>
      </c>
      <c r="T45" s="22">
        <v>4.3499999999999997E-2</v>
      </c>
      <c r="U45" s="22">
        <v>4.3499999999999997E-2</v>
      </c>
      <c r="V45" s="22">
        <v>4.3499999999999997E-2</v>
      </c>
      <c r="W45" s="9">
        <v>4.3499999999999997E-2</v>
      </c>
      <c r="X45" s="9">
        <v>4.3499999999999997E-2</v>
      </c>
      <c r="Y45" s="9">
        <v>4.3499999999999997E-2</v>
      </c>
      <c r="Z45" s="9">
        <v>4.3499999999999997E-2</v>
      </c>
      <c r="AA45" s="9">
        <v>4.3499999999999997E-2</v>
      </c>
      <c r="AB45" s="9">
        <v>4.3499999999999997E-2</v>
      </c>
      <c r="AC45" s="9">
        <v>4.3499999999999997E-2</v>
      </c>
      <c r="AD45" s="9">
        <v>4.3499999999999997E-2</v>
      </c>
      <c r="AE45" s="9">
        <v>4.3499999999999997E-2</v>
      </c>
      <c r="AF45" s="104">
        <v>4.3499999999999997E-2</v>
      </c>
    </row>
    <row r="46" spans="2:32" x14ac:dyDescent="0.2">
      <c r="B46" s="111" t="s">
        <v>23</v>
      </c>
      <c r="C46" s="9"/>
      <c r="D46" s="9"/>
      <c r="E46" s="22"/>
      <c r="F46" s="22"/>
      <c r="G46" s="22"/>
      <c r="H46" s="21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9"/>
      <c r="X46" s="9"/>
      <c r="Y46" s="9"/>
      <c r="Z46" s="9"/>
      <c r="AA46" s="9"/>
      <c r="AB46" s="9"/>
      <c r="AC46" s="9"/>
      <c r="AD46" s="9"/>
      <c r="AE46" s="9"/>
      <c r="AF46" s="104"/>
    </row>
    <row r="47" spans="2:32" x14ac:dyDescent="0.2">
      <c r="B47" s="115" t="s">
        <v>159</v>
      </c>
      <c r="C47" s="14"/>
      <c r="D47" s="14"/>
      <c r="E47" s="52"/>
      <c r="F47" s="52"/>
      <c r="G47" s="52"/>
      <c r="H47" s="275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14"/>
      <c r="X47" s="14"/>
      <c r="Y47" s="14"/>
      <c r="Z47" s="14"/>
      <c r="AA47" s="14"/>
      <c r="AB47" s="14"/>
      <c r="AC47" s="14"/>
      <c r="AD47" s="14"/>
      <c r="AE47" s="14"/>
      <c r="AF47" s="116"/>
    </row>
    <row r="48" spans="2:32" x14ac:dyDescent="0.2">
      <c r="B48" s="97" t="s">
        <v>27</v>
      </c>
      <c r="C48" s="7"/>
      <c r="D48" s="7"/>
      <c r="E48" s="60"/>
      <c r="F48" s="60"/>
      <c r="G48" s="60"/>
      <c r="H48" s="206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7"/>
      <c r="X48" s="7"/>
      <c r="Y48" s="7"/>
      <c r="Z48" s="7"/>
      <c r="AA48" s="7"/>
      <c r="AB48" s="7"/>
      <c r="AC48" s="7"/>
      <c r="AD48" s="7"/>
      <c r="AE48" s="7"/>
      <c r="AF48" s="101"/>
    </row>
    <row r="49" spans="1:32" x14ac:dyDescent="0.2">
      <c r="B49" s="96" t="s">
        <v>5</v>
      </c>
      <c r="C49" s="276">
        <f t="shared" ref="C49:AC49" si="2">C40*C45*1000</f>
        <v>9464952</v>
      </c>
      <c r="D49" s="204">
        <f t="shared" si="2"/>
        <v>9345287.9999999981</v>
      </c>
      <c r="E49" s="204">
        <f t="shared" si="2"/>
        <v>9214570.8000000007</v>
      </c>
      <c r="F49" s="204">
        <f t="shared" si="2"/>
        <v>9107112</v>
      </c>
      <c r="G49" s="204">
        <f t="shared" si="2"/>
        <v>8988600</v>
      </c>
      <c r="H49" s="204">
        <f t="shared" si="2"/>
        <v>9009467.9999999981</v>
      </c>
      <c r="I49" s="204">
        <f t="shared" si="2"/>
        <v>9030192</v>
      </c>
      <c r="J49" s="204">
        <f t="shared" si="2"/>
        <v>9050771.9999999981</v>
      </c>
      <c r="K49" s="204">
        <f t="shared" si="2"/>
        <v>9071207.9999999981</v>
      </c>
      <c r="L49" s="204">
        <f t="shared" si="2"/>
        <v>9091500</v>
      </c>
      <c r="M49" s="204">
        <f t="shared" si="2"/>
        <v>8953750</v>
      </c>
      <c r="N49" s="204">
        <f t="shared" si="2"/>
        <v>8816000</v>
      </c>
      <c r="O49" s="204">
        <f t="shared" si="2"/>
        <v>8678250</v>
      </c>
      <c r="P49" s="204">
        <f t="shared" si="2"/>
        <v>8678250</v>
      </c>
      <c r="Q49" s="204">
        <f t="shared" si="2"/>
        <v>8678250</v>
      </c>
      <c r="R49" s="204">
        <f t="shared" si="2"/>
        <v>8917500</v>
      </c>
      <c r="S49" s="204">
        <f t="shared" si="2"/>
        <v>9135000</v>
      </c>
      <c r="T49" s="204">
        <f t="shared" si="2"/>
        <v>9135000</v>
      </c>
      <c r="U49" s="204">
        <f t="shared" si="2"/>
        <v>9135000</v>
      </c>
      <c r="V49" s="204">
        <f t="shared" si="2"/>
        <v>9135000</v>
      </c>
      <c r="W49" s="204">
        <f t="shared" si="2"/>
        <v>9135000</v>
      </c>
      <c r="X49" s="204">
        <f t="shared" si="2"/>
        <v>9135000</v>
      </c>
      <c r="Y49" s="204">
        <f t="shared" si="2"/>
        <v>9135000</v>
      </c>
      <c r="Z49" s="204">
        <f t="shared" si="2"/>
        <v>9135000</v>
      </c>
      <c r="AA49" s="204">
        <f t="shared" si="2"/>
        <v>9135000</v>
      </c>
      <c r="AB49" s="204">
        <f t="shared" si="2"/>
        <v>9135000</v>
      </c>
      <c r="AC49" s="204">
        <f t="shared" si="2"/>
        <v>9135000</v>
      </c>
      <c r="AD49" s="204">
        <f t="shared" ref="AD49:AF49" si="3">AD40*AD45*1000</f>
        <v>9135000</v>
      </c>
      <c r="AE49" s="204">
        <f t="shared" si="3"/>
        <v>9135000</v>
      </c>
      <c r="AF49" s="205">
        <f t="shared" si="3"/>
        <v>9135000</v>
      </c>
    </row>
    <row r="50" spans="1:32" x14ac:dyDescent="0.2">
      <c r="B50" s="103" t="s">
        <v>28</v>
      </c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151"/>
    </row>
    <row r="51" spans="1:32" ht="13.5" thickBot="1" x14ac:dyDescent="0.25">
      <c r="B51" s="99" t="s">
        <v>5</v>
      </c>
      <c r="C51" s="10">
        <f t="shared" ref="C51:AF51" si="4">C33-C38-C49</f>
        <v>31261036.107200205</v>
      </c>
      <c r="D51" s="10">
        <f t="shared" si="4"/>
        <v>30571037.148480274</v>
      </c>
      <c r="E51" s="10">
        <f t="shared" si="4"/>
        <v>29523481.11168034</v>
      </c>
      <c r="F51" s="10">
        <f t="shared" si="4"/>
        <v>27508781.61935997</v>
      </c>
      <c r="G51" s="10">
        <f t="shared" si="4"/>
        <v>26436599.272320047</v>
      </c>
      <c r="H51" s="10">
        <f t="shared" si="4"/>
        <v>24777872.259200104</v>
      </c>
      <c r="I51" s="10">
        <f t="shared" si="4"/>
        <v>23131839.073920164</v>
      </c>
      <c r="J51" s="10">
        <f t="shared" si="4"/>
        <v>22931265.879616015</v>
      </c>
      <c r="K51" s="10">
        <f t="shared" si="4"/>
        <v>22436816.53075204</v>
      </c>
      <c r="L51" s="10">
        <f t="shared" si="4"/>
        <v>21552831.750384059</v>
      </c>
      <c r="M51" s="10">
        <f t="shared" si="4"/>
        <v>21842471.808000088</v>
      </c>
      <c r="N51" s="10">
        <f t="shared" si="4"/>
        <v>20870105.446624115</v>
      </c>
      <c r="O51" s="10">
        <f t="shared" si="4"/>
        <v>20400549.085248139</v>
      </c>
      <c r="P51" s="10">
        <f t="shared" si="4"/>
        <v>20502043.400896173</v>
      </c>
      <c r="Q51" s="10">
        <f t="shared" si="4"/>
        <v>20226458.948543981</v>
      </c>
      <c r="R51" s="10">
        <f t="shared" si="4"/>
        <v>19244199.301120009</v>
      </c>
      <c r="S51" s="10">
        <f t="shared" si="4"/>
        <v>19173284.288768034</v>
      </c>
      <c r="T51" s="10">
        <f t="shared" si="4"/>
        <v>18825368.304000057</v>
      </c>
      <c r="U51" s="10">
        <f t="shared" si="4"/>
        <v>18945298.75200009</v>
      </c>
      <c r="V51" s="10">
        <f t="shared" si="4"/>
        <v>18463213.808000118</v>
      </c>
      <c r="W51" s="10">
        <f t="shared" si="4"/>
        <v>18339464.160000153</v>
      </c>
      <c r="X51" s="10">
        <f t="shared" si="4"/>
        <v>18225032.831999984</v>
      </c>
      <c r="Y51" s="10">
        <f t="shared" si="4"/>
        <v>16903822.655999947</v>
      </c>
      <c r="Z51" s="10">
        <f t="shared" si="4"/>
        <v>17181892.799999971</v>
      </c>
      <c r="AA51" s="10">
        <f t="shared" si="4"/>
        <v>16928558.399999999</v>
      </c>
      <c r="AB51" s="10">
        <f t="shared" si="4"/>
        <v>17449530.719999958</v>
      </c>
      <c r="AC51" s="10">
        <f t="shared" si="4"/>
        <v>16677458.495999984</v>
      </c>
      <c r="AD51" s="10">
        <f t="shared" si="4"/>
        <v>16421590.751999948</v>
      </c>
      <c r="AE51" s="10">
        <f t="shared" si="4"/>
        <v>16351345.144127972</v>
      </c>
      <c r="AF51" s="273">
        <f t="shared" si="4"/>
        <v>16274286.837791998</v>
      </c>
    </row>
    <row r="52" spans="1:32" ht="19.5" customHeight="1" x14ac:dyDescent="0.2">
      <c r="B52" s="168" t="s">
        <v>123</v>
      </c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70"/>
    </row>
    <row r="53" spans="1:32" ht="14.25" x14ac:dyDescent="0.25">
      <c r="B53" s="103" t="s">
        <v>175</v>
      </c>
      <c r="C53" s="18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18"/>
    </row>
    <row r="54" spans="1:32" ht="15.75" x14ac:dyDescent="0.3">
      <c r="B54" s="99" t="s">
        <v>29</v>
      </c>
      <c r="C54" s="18">
        <v>1.6E-2</v>
      </c>
      <c r="D54" s="12">
        <v>1.6E-2</v>
      </c>
      <c r="E54" s="12">
        <v>1.6E-2</v>
      </c>
      <c r="F54" s="12">
        <v>1.6E-2</v>
      </c>
      <c r="G54" s="12">
        <v>1.6E-2</v>
      </c>
      <c r="H54" s="12">
        <v>1.6E-2</v>
      </c>
      <c r="I54" s="12">
        <v>1.6E-2</v>
      </c>
      <c r="J54" s="12">
        <v>1.6E-2</v>
      </c>
      <c r="K54" s="12">
        <v>1.6E-2</v>
      </c>
      <c r="L54" s="12">
        <v>1.6E-2</v>
      </c>
      <c r="M54" s="12">
        <v>1.6E-2</v>
      </c>
      <c r="N54" s="12">
        <v>1.6E-2</v>
      </c>
      <c r="O54" s="12">
        <v>1.6E-2</v>
      </c>
      <c r="P54" s="12">
        <v>1.6E-2</v>
      </c>
      <c r="Q54" s="12">
        <v>1.6E-2</v>
      </c>
      <c r="R54" s="12">
        <v>1.6E-2</v>
      </c>
      <c r="S54" s="12">
        <v>1.6E-2</v>
      </c>
      <c r="T54" s="12">
        <v>1.6E-2</v>
      </c>
      <c r="U54" s="12">
        <v>1.6E-2</v>
      </c>
      <c r="V54" s="12">
        <v>1.6E-2</v>
      </c>
      <c r="W54" s="12">
        <v>1.6E-2</v>
      </c>
      <c r="X54" s="12">
        <v>1.6E-2</v>
      </c>
      <c r="Y54" s="12">
        <v>1.6E-2</v>
      </c>
      <c r="Z54" s="12">
        <v>1.6E-2</v>
      </c>
      <c r="AA54" s="12">
        <v>1.6E-2</v>
      </c>
      <c r="AB54" s="12">
        <v>1.6E-2</v>
      </c>
      <c r="AC54" s="12">
        <v>1.6E-2</v>
      </c>
      <c r="AD54" s="12">
        <v>1.6E-2</v>
      </c>
      <c r="AE54" s="12">
        <v>1.6E-2</v>
      </c>
      <c r="AF54" s="118">
        <v>1.6E-2</v>
      </c>
    </row>
    <row r="55" spans="1:32" ht="13.5" thickBot="1" x14ac:dyDescent="0.25">
      <c r="B55" s="105" t="s">
        <v>179</v>
      </c>
      <c r="C55" s="18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18"/>
    </row>
    <row r="56" spans="1:32" ht="14.25" x14ac:dyDescent="0.25">
      <c r="B56" s="97" t="s">
        <v>176</v>
      </c>
      <c r="C56" s="7"/>
      <c r="D56" s="7"/>
      <c r="E56" s="60"/>
      <c r="F56" s="60"/>
      <c r="G56" s="60"/>
      <c r="H56" s="206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7"/>
      <c r="X56" s="7"/>
      <c r="Y56" s="7"/>
      <c r="Z56" s="7"/>
      <c r="AA56" s="7"/>
      <c r="AB56" s="7"/>
      <c r="AC56" s="7"/>
      <c r="AD56" s="7"/>
      <c r="AE56" s="7"/>
      <c r="AF56" s="101"/>
    </row>
    <row r="57" spans="1:32" ht="15.75" x14ac:dyDescent="0.3">
      <c r="B57" s="99" t="s">
        <v>29</v>
      </c>
      <c r="C57" s="9">
        <v>5.0000000000000001E-3</v>
      </c>
      <c r="D57" s="9">
        <v>5.0000000000000001E-3</v>
      </c>
      <c r="E57" s="9">
        <v>5.0000000000000001E-3</v>
      </c>
      <c r="F57" s="9">
        <v>5.0000000000000001E-3</v>
      </c>
      <c r="G57" s="9">
        <v>5.0000000000000001E-3</v>
      </c>
      <c r="H57" s="9">
        <v>5.0000000000000001E-3</v>
      </c>
      <c r="I57" s="9">
        <v>5.0000000000000001E-3</v>
      </c>
      <c r="J57" s="9">
        <v>5.0000000000000001E-3</v>
      </c>
      <c r="K57" s="9">
        <v>5.0000000000000001E-3</v>
      </c>
      <c r="L57" s="9">
        <v>5.0000000000000001E-3</v>
      </c>
      <c r="M57" s="9">
        <v>5.0000000000000001E-3</v>
      </c>
      <c r="N57" s="9">
        <v>5.0000000000000001E-3</v>
      </c>
      <c r="O57" s="9">
        <v>5.0000000000000001E-3</v>
      </c>
      <c r="P57" s="9">
        <v>5.0000000000000001E-3</v>
      </c>
      <c r="Q57" s="9">
        <v>5.0000000000000001E-3</v>
      </c>
      <c r="R57" s="9">
        <v>5.0000000000000001E-3</v>
      </c>
      <c r="S57" s="9">
        <v>5.0000000000000001E-3</v>
      </c>
      <c r="T57" s="9">
        <v>5.0000000000000001E-3</v>
      </c>
      <c r="U57" s="9">
        <v>5.0000000000000001E-3</v>
      </c>
      <c r="V57" s="9">
        <v>5.0000000000000001E-3</v>
      </c>
      <c r="W57" s="9">
        <v>5.0000000000000001E-3</v>
      </c>
      <c r="X57" s="9">
        <v>5.0000000000000001E-3</v>
      </c>
      <c r="Y57" s="9">
        <v>5.0000000000000001E-3</v>
      </c>
      <c r="Z57" s="9">
        <v>5.0000000000000001E-3</v>
      </c>
      <c r="AA57" s="9">
        <v>5.0000000000000001E-3</v>
      </c>
      <c r="AB57" s="9">
        <v>5.0000000000000001E-3</v>
      </c>
      <c r="AC57" s="9">
        <v>5.0000000000000001E-3</v>
      </c>
      <c r="AD57" s="9">
        <v>5.0000000000000001E-3</v>
      </c>
      <c r="AE57" s="9">
        <v>5.0000000000000001E-3</v>
      </c>
      <c r="AF57" s="104">
        <v>5.0000000000000001E-3</v>
      </c>
    </row>
    <row r="58" spans="1:32" ht="13.5" thickBot="1" x14ac:dyDescent="0.25">
      <c r="B58" s="105" t="s">
        <v>179</v>
      </c>
      <c r="C58" s="107"/>
      <c r="D58" s="107"/>
      <c r="E58" s="107"/>
      <c r="F58" s="107"/>
      <c r="G58" s="107"/>
      <c r="H58" s="108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9"/>
    </row>
    <row r="59" spans="1:32" ht="19.5" customHeight="1" x14ac:dyDescent="0.2">
      <c r="B59" s="168" t="s">
        <v>122</v>
      </c>
      <c r="C59" s="169"/>
      <c r="D59" s="169"/>
      <c r="E59" s="169"/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  <c r="R59" s="169"/>
      <c r="S59" s="169"/>
      <c r="T59" s="169"/>
      <c r="U59" s="169"/>
      <c r="V59" s="169"/>
      <c r="W59" s="169"/>
      <c r="X59" s="169"/>
      <c r="Y59" s="169"/>
      <c r="Z59" s="169"/>
      <c r="AA59" s="169"/>
      <c r="AB59" s="169"/>
      <c r="AC59" s="169"/>
      <c r="AD59" s="169"/>
      <c r="AE59" s="169"/>
      <c r="AF59" s="170"/>
    </row>
    <row r="60" spans="1:32" x14ac:dyDescent="0.2">
      <c r="B60" s="103" t="s">
        <v>13</v>
      </c>
      <c r="C60" s="3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104"/>
    </row>
    <row r="61" spans="1:32" ht="15.75" x14ac:dyDescent="0.3">
      <c r="A61" s="72"/>
      <c r="B61" s="141" t="s">
        <v>17</v>
      </c>
      <c r="C61" s="41">
        <f t="shared" ref="C61:AE61" si="5">C33*C54*44/28</f>
        <v>1147045.7051428573</v>
      </c>
      <c r="D61" s="42">
        <f>D33*D54*44/28</f>
        <v>1166405.7051428573</v>
      </c>
      <c r="E61" s="42">
        <f t="shared" si="5"/>
        <v>1176083.4925714289</v>
      </c>
      <c r="F61" s="42">
        <f t="shared" si="5"/>
        <v>1156727.9177142859</v>
      </c>
      <c r="G61" s="42">
        <f t="shared" si="5"/>
        <v>1166405.7051428573</v>
      </c>
      <c r="H61" s="42">
        <f t="shared" si="5"/>
        <v>1161564.5988571432</v>
      </c>
      <c r="I61" s="42">
        <f t="shared" si="5"/>
        <v>1156727.9177142859</v>
      </c>
      <c r="J61" s="42">
        <f t="shared" si="5"/>
        <v>1161564.5988571432</v>
      </c>
      <c r="K61" s="42">
        <f t="shared" si="5"/>
        <v>1166405.7051428573</v>
      </c>
      <c r="L61" s="42">
        <f t="shared" si="5"/>
        <v>1156727.9177142859</v>
      </c>
      <c r="M61" s="42">
        <f t="shared" si="5"/>
        <v>1185765.7051428573</v>
      </c>
      <c r="N61" s="42">
        <f t="shared" si="5"/>
        <v>1166405.7051428573</v>
      </c>
      <c r="O61" s="42">
        <f t="shared" si="5"/>
        <v>1166405.7051428573</v>
      </c>
      <c r="P61" s="42">
        <f t="shared" si="5"/>
        <v>1195443.4925714289</v>
      </c>
      <c r="Q61" s="42">
        <f t="shared" si="5"/>
        <v>1209962.3862857146</v>
      </c>
      <c r="R61" s="42">
        <f t="shared" si="5"/>
        <v>1205125.7051428573</v>
      </c>
      <c r="S61" s="42">
        <f t="shared" si="5"/>
        <v>1239004.5988571432</v>
      </c>
      <c r="T61" s="42">
        <f t="shared" si="5"/>
        <v>1252315.4285714286</v>
      </c>
      <c r="U61" s="42">
        <f t="shared" si="5"/>
        <v>1287716.5714285714</v>
      </c>
      <c r="V61" s="42">
        <f t="shared" si="5"/>
        <v>1296566.857142857</v>
      </c>
      <c r="W61" s="42">
        <f t="shared" si="5"/>
        <v>1323117.7142857143</v>
      </c>
      <c r="X61" s="42">
        <f t="shared" si="5"/>
        <v>1354093.7142857143</v>
      </c>
      <c r="Y61" s="42">
        <f t="shared" si="5"/>
        <v>1300992</v>
      </c>
      <c r="Z61" s="42">
        <f t="shared" si="5"/>
        <v>1327542.857142857</v>
      </c>
      <c r="AA61" s="42">
        <f t="shared" si="5"/>
        <v>1327542.857142857</v>
      </c>
      <c r="AB61" s="42">
        <f t="shared" si="5"/>
        <v>1367369.142857143</v>
      </c>
      <c r="AC61" s="42">
        <f t="shared" si="5"/>
        <v>1340818.2857142857</v>
      </c>
      <c r="AD61" s="42">
        <f t="shared" si="5"/>
        <v>1340818.2857142857</v>
      </c>
      <c r="AE61" s="42">
        <f t="shared" si="5"/>
        <v>1350655.3782857147</v>
      </c>
      <c r="AF61" s="110">
        <f>AF33*AF54*44/28</f>
        <v>1360328.7405714288</v>
      </c>
    </row>
    <row r="62" spans="1:32" x14ac:dyDescent="0.2">
      <c r="A62" s="72"/>
      <c r="B62" s="156" t="s">
        <v>58</v>
      </c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8"/>
    </row>
    <row r="63" spans="1:32" ht="15.75" x14ac:dyDescent="0.3">
      <c r="A63" s="72"/>
      <c r="B63" s="141" t="s">
        <v>6</v>
      </c>
      <c r="C63" s="42">
        <f t="shared" ref="C63:AB63" si="6">C51*C57</f>
        <v>156305.18053600102</v>
      </c>
      <c r="D63" s="42">
        <f t="shared" si="6"/>
        <v>152855.18574240137</v>
      </c>
      <c r="E63" s="42">
        <f t="shared" si="6"/>
        <v>147617.40555840169</v>
      </c>
      <c r="F63" s="42">
        <f t="shared" si="6"/>
        <v>137543.90809679986</v>
      </c>
      <c r="G63" s="42">
        <f t="shared" si="6"/>
        <v>132182.99636160024</v>
      </c>
      <c r="H63" s="42">
        <f t="shared" si="6"/>
        <v>123889.36129600053</v>
      </c>
      <c r="I63" s="42">
        <f t="shared" si="6"/>
        <v>115659.19536960083</v>
      </c>
      <c r="J63" s="42">
        <f t="shared" si="6"/>
        <v>114656.32939808008</v>
      </c>
      <c r="K63" s="42">
        <f t="shared" si="6"/>
        <v>112184.08265376021</v>
      </c>
      <c r="L63" s="42">
        <f t="shared" si="6"/>
        <v>107764.1587519203</v>
      </c>
      <c r="M63" s="42">
        <f t="shared" si="6"/>
        <v>109212.35904000045</v>
      </c>
      <c r="N63" s="42">
        <f t="shared" si="6"/>
        <v>104350.52723312058</v>
      </c>
      <c r="O63" s="42">
        <f t="shared" si="6"/>
        <v>102002.7454262407</v>
      </c>
      <c r="P63" s="42">
        <f t="shared" si="6"/>
        <v>102510.21700448087</v>
      </c>
      <c r="Q63" s="42">
        <f t="shared" si="6"/>
        <v>101132.29474271991</v>
      </c>
      <c r="R63" s="42">
        <f t="shared" si="6"/>
        <v>96220.996505600051</v>
      </c>
      <c r="S63" s="42">
        <f t="shared" si="6"/>
        <v>95866.421443840169</v>
      </c>
      <c r="T63" s="42">
        <f t="shared" si="6"/>
        <v>94126.841520000293</v>
      </c>
      <c r="U63" s="42">
        <f t="shared" si="6"/>
        <v>94726.493760000449</v>
      </c>
      <c r="V63" s="42">
        <f t="shared" si="6"/>
        <v>92316.069040000584</v>
      </c>
      <c r="W63" s="42">
        <f t="shared" si="6"/>
        <v>91697.320800000773</v>
      </c>
      <c r="X63" s="42">
        <f t="shared" si="6"/>
        <v>91125.164159999913</v>
      </c>
      <c r="Y63" s="42">
        <f t="shared" si="6"/>
        <v>84519.113279999743</v>
      </c>
      <c r="Z63" s="42">
        <f t="shared" si="6"/>
        <v>85909.463999999862</v>
      </c>
      <c r="AA63" s="42">
        <f t="shared" si="6"/>
        <v>84642.792000000001</v>
      </c>
      <c r="AB63" s="42">
        <f t="shared" si="6"/>
        <v>87247.653599999787</v>
      </c>
      <c r="AC63" s="42">
        <f>AC51*AC57</f>
        <v>83387.292479999931</v>
      </c>
      <c r="AD63" s="42">
        <f t="shared" ref="AD63:AF63" si="7">AD51*AD57</f>
        <v>82107.953759999742</v>
      </c>
      <c r="AE63" s="42">
        <f t="shared" si="7"/>
        <v>81756.725720639864</v>
      </c>
      <c r="AF63" s="110">
        <f t="shared" si="7"/>
        <v>81371.434188959989</v>
      </c>
    </row>
    <row r="64" spans="1:32" ht="16.5" thickBot="1" x14ac:dyDescent="0.35">
      <c r="A64" s="72"/>
      <c r="B64" s="238" t="s">
        <v>7</v>
      </c>
      <c r="C64" s="131">
        <f>C63*(44/28)</f>
        <v>245622.42655657302</v>
      </c>
      <c r="D64" s="131">
        <f t="shared" ref="D64:AC64" si="8">D63*(44/28)</f>
        <v>240201.00616663072</v>
      </c>
      <c r="E64" s="131">
        <f t="shared" si="8"/>
        <v>231970.20873463122</v>
      </c>
      <c r="F64" s="131">
        <f t="shared" si="8"/>
        <v>216140.42700925691</v>
      </c>
      <c r="G64" s="131">
        <f t="shared" si="8"/>
        <v>207716.13713965751</v>
      </c>
      <c r="H64" s="131">
        <f t="shared" si="8"/>
        <v>194683.28203657226</v>
      </c>
      <c r="I64" s="131">
        <f t="shared" si="8"/>
        <v>181750.16415222987</v>
      </c>
      <c r="J64" s="131">
        <f t="shared" si="8"/>
        <v>180174.2319112687</v>
      </c>
      <c r="K64" s="131">
        <f t="shared" si="8"/>
        <v>176289.27274162319</v>
      </c>
      <c r="L64" s="131">
        <f t="shared" si="8"/>
        <v>169343.67803873189</v>
      </c>
      <c r="M64" s="131">
        <f t="shared" si="8"/>
        <v>171619.42134857213</v>
      </c>
      <c r="N64" s="131">
        <f t="shared" si="8"/>
        <v>163979.3999377609</v>
      </c>
      <c r="O64" s="131">
        <f t="shared" si="8"/>
        <v>160290.02852694967</v>
      </c>
      <c r="P64" s="131">
        <f t="shared" si="8"/>
        <v>161087.48386418424</v>
      </c>
      <c r="Q64" s="131">
        <f t="shared" si="8"/>
        <v>158922.17745284556</v>
      </c>
      <c r="R64" s="131">
        <f t="shared" si="8"/>
        <v>151204.42308022865</v>
      </c>
      <c r="S64" s="131">
        <f t="shared" si="8"/>
        <v>150647.23369746312</v>
      </c>
      <c r="T64" s="131">
        <f t="shared" si="8"/>
        <v>147913.6081028576</v>
      </c>
      <c r="U64" s="131">
        <f t="shared" si="8"/>
        <v>148855.91876571497</v>
      </c>
      <c r="V64" s="131">
        <f t="shared" si="8"/>
        <v>145068.10849142948</v>
      </c>
      <c r="W64" s="131">
        <f t="shared" si="8"/>
        <v>144095.78982857263</v>
      </c>
      <c r="X64" s="131">
        <f t="shared" si="8"/>
        <v>143196.68653714273</v>
      </c>
      <c r="Y64" s="131">
        <f t="shared" si="8"/>
        <v>132815.74943999961</v>
      </c>
      <c r="Z64" s="131">
        <f t="shared" si="8"/>
        <v>135000.58628571406</v>
      </c>
      <c r="AA64" s="131">
        <f t="shared" si="8"/>
        <v>133010.1017142857</v>
      </c>
      <c r="AB64" s="131">
        <f t="shared" si="8"/>
        <v>137103.45565714251</v>
      </c>
      <c r="AC64" s="131">
        <f t="shared" si="8"/>
        <v>131037.17389714274</v>
      </c>
      <c r="AD64" s="131">
        <f t="shared" ref="AD64:AF64" si="9">AD63*(44/28)</f>
        <v>129026.78447999959</v>
      </c>
      <c r="AE64" s="131">
        <f t="shared" si="9"/>
        <v>128474.85470386264</v>
      </c>
      <c r="AF64" s="133">
        <f t="shared" si="9"/>
        <v>127869.3965826514</v>
      </c>
    </row>
    <row r="65" spans="2:32" x14ac:dyDescent="0.2">
      <c r="B65" s="200"/>
      <c r="C65" s="201"/>
      <c r="D65" s="201"/>
      <c r="E65" s="201"/>
      <c r="F65" s="201"/>
      <c r="G65" s="201"/>
      <c r="H65" s="201"/>
      <c r="I65" s="201"/>
      <c r="J65" s="201"/>
      <c r="K65" s="201"/>
      <c r="L65" s="201"/>
      <c r="M65" s="201"/>
      <c r="N65" s="201"/>
      <c r="O65" s="201"/>
      <c r="P65" s="201"/>
      <c r="Q65" s="201"/>
      <c r="R65" s="201"/>
      <c r="S65" s="201"/>
      <c r="T65" s="201"/>
      <c r="U65" s="201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  <c r="AF65" s="202"/>
    </row>
    <row r="66" spans="2:32" x14ac:dyDescent="0.2">
      <c r="B66" s="103" t="s">
        <v>59</v>
      </c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110"/>
    </row>
    <row r="67" spans="2:32" ht="15.75" x14ac:dyDescent="0.3">
      <c r="B67" s="99" t="s">
        <v>7</v>
      </c>
      <c r="C67" s="13">
        <f t="shared" ref="C67:AC67" si="10">C64+C61</f>
        <v>1392668.1316994303</v>
      </c>
      <c r="D67" s="13">
        <f t="shared" si="10"/>
        <v>1406606.7113094879</v>
      </c>
      <c r="E67" s="13">
        <f t="shared" si="10"/>
        <v>1408053.7013060602</v>
      </c>
      <c r="F67" s="13">
        <f t="shared" si="10"/>
        <v>1372868.3447235427</v>
      </c>
      <c r="G67" s="13">
        <f t="shared" si="10"/>
        <v>1374121.8422825148</v>
      </c>
      <c r="H67" s="13">
        <f t="shared" si="10"/>
        <v>1356247.8808937154</v>
      </c>
      <c r="I67" s="13">
        <f t="shared" si="10"/>
        <v>1338478.0818665158</v>
      </c>
      <c r="J67" s="13">
        <f t="shared" si="10"/>
        <v>1341738.830768412</v>
      </c>
      <c r="K67" s="13">
        <f t="shared" si="10"/>
        <v>1342694.9778844805</v>
      </c>
      <c r="L67" s="13">
        <f t="shared" si="10"/>
        <v>1326071.5957530178</v>
      </c>
      <c r="M67" s="13">
        <f t="shared" si="10"/>
        <v>1357385.1264914293</v>
      </c>
      <c r="N67" s="13">
        <f t="shared" si="10"/>
        <v>1330385.1050806181</v>
      </c>
      <c r="O67" s="13">
        <f t="shared" si="10"/>
        <v>1326695.733669807</v>
      </c>
      <c r="P67" s="13">
        <f t="shared" si="10"/>
        <v>1356530.9764356131</v>
      </c>
      <c r="Q67" s="13">
        <f t="shared" si="10"/>
        <v>1368884.5637385601</v>
      </c>
      <c r="R67" s="13">
        <f t="shared" si="10"/>
        <v>1356330.128223086</v>
      </c>
      <c r="S67" s="13">
        <f t="shared" si="10"/>
        <v>1389651.8325546063</v>
      </c>
      <c r="T67" s="13">
        <f t="shared" si="10"/>
        <v>1400229.0366742862</v>
      </c>
      <c r="U67" s="13">
        <f t="shared" si="10"/>
        <v>1436572.4901942862</v>
      </c>
      <c r="V67" s="13">
        <f t="shared" si="10"/>
        <v>1441634.9656342864</v>
      </c>
      <c r="W67" s="13">
        <f t="shared" si="10"/>
        <v>1467213.504114287</v>
      </c>
      <c r="X67" s="13">
        <f t="shared" si="10"/>
        <v>1497290.4008228569</v>
      </c>
      <c r="Y67" s="13">
        <f t="shared" si="10"/>
        <v>1433807.7494399997</v>
      </c>
      <c r="Z67" s="13">
        <f t="shared" si="10"/>
        <v>1462543.4434285711</v>
      </c>
      <c r="AA67" s="13">
        <f t="shared" si="10"/>
        <v>1460552.9588571428</v>
      </c>
      <c r="AB67" s="13">
        <f t="shared" si="10"/>
        <v>1504472.5985142854</v>
      </c>
      <c r="AC67" s="13">
        <f t="shared" si="10"/>
        <v>1471855.4596114284</v>
      </c>
      <c r="AD67" s="13">
        <f t="shared" ref="AD67:AF67" si="11">AD64+AD61</f>
        <v>1469845.0701942854</v>
      </c>
      <c r="AE67" s="13">
        <f t="shared" si="11"/>
        <v>1479130.2329895773</v>
      </c>
      <c r="AF67" s="100">
        <f t="shared" si="11"/>
        <v>1488198.1371540802</v>
      </c>
    </row>
    <row r="68" spans="2:32" ht="15.75" x14ac:dyDescent="0.3">
      <c r="B68" s="99" t="s">
        <v>10</v>
      </c>
      <c r="C68" s="282">
        <f t="shared" ref="C68:AF68" si="12">C67/C5</f>
        <v>0.20492468094458952</v>
      </c>
      <c r="D68" s="282">
        <f t="shared" si="12"/>
        <v>0.20444864989963488</v>
      </c>
      <c r="E68" s="282">
        <f t="shared" si="12"/>
        <v>0.20280191578655626</v>
      </c>
      <c r="F68" s="282">
        <f t="shared" si="12"/>
        <v>0.19643272924932648</v>
      </c>
      <c r="G68" s="282">
        <f t="shared" si="12"/>
        <v>0.19527097375053501</v>
      </c>
      <c r="H68" s="282">
        <f t="shared" si="12"/>
        <v>0.19153338241685008</v>
      </c>
      <c r="I68" s="282">
        <f t="shared" si="12"/>
        <v>0.18838537394321123</v>
      </c>
      <c r="J68" s="282">
        <f t="shared" si="12"/>
        <v>0.18863191772366258</v>
      </c>
      <c r="K68" s="282">
        <f t="shared" si="12"/>
        <v>0.18826345735901298</v>
      </c>
      <c r="L68" s="282">
        <f t="shared" si="12"/>
        <v>0.18502464012181077</v>
      </c>
      <c r="M68" s="282">
        <f t="shared" si="12"/>
        <v>0.18829034907635306</v>
      </c>
      <c r="N68" s="282">
        <f t="shared" si="12"/>
        <v>0.18261978106803267</v>
      </c>
      <c r="O68" s="282">
        <f t="shared" si="12"/>
        <v>0.18067489223339331</v>
      </c>
      <c r="P68" s="282">
        <f t="shared" si="12"/>
        <v>0.1831912189649714</v>
      </c>
      <c r="Q68" s="282">
        <f t="shared" si="12"/>
        <v>0.18364429349859943</v>
      </c>
      <c r="R68" s="282">
        <f t="shared" si="12"/>
        <v>0.18081990777537474</v>
      </c>
      <c r="S68" s="282">
        <f t="shared" si="12"/>
        <v>0.18386502150762188</v>
      </c>
      <c r="T68" s="282">
        <f t="shared" si="12"/>
        <v>0.18378120969606068</v>
      </c>
      <c r="U68" s="282">
        <f t="shared" si="12"/>
        <v>0.18630171056857556</v>
      </c>
      <c r="V68" s="282">
        <f t="shared" si="12"/>
        <v>0.18480130311938039</v>
      </c>
      <c r="W68" s="282">
        <f t="shared" si="12"/>
        <v>0.18624187663293817</v>
      </c>
      <c r="X68" s="282">
        <f t="shared" si="12"/>
        <v>0.18924297280369778</v>
      </c>
      <c r="Y68" s="282">
        <f t="shared" si="12"/>
        <v>0.17929320363136173</v>
      </c>
      <c r="Z68" s="282">
        <f t="shared" si="12"/>
        <v>0.18080645857690333</v>
      </c>
      <c r="AA68" s="282">
        <f t="shared" si="12"/>
        <v>0.17835547183504002</v>
      </c>
      <c r="AB68" s="282">
        <f t="shared" si="12"/>
        <v>0.18165571100148339</v>
      </c>
      <c r="AC68" s="282">
        <f t="shared" si="12"/>
        <v>0.17578591420177098</v>
      </c>
      <c r="AD68" s="282">
        <f t="shared" si="12"/>
        <v>0.17365844402106395</v>
      </c>
      <c r="AE68" s="282">
        <f t="shared" si="12"/>
        <v>0.17289657895845439</v>
      </c>
      <c r="AF68" s="283">
        <f t="shared" si="12"/>
        <v>0.17212562308050894</v>
      </c>
    </row>
    <row r="69" spans="2:32" ht="13.5" thickBot="1" x14ac:dyDescent="0.25">
      <c r="B69" s="102"/>
      <c r="C69" s="107"/>
      <c r="D69" s="107"/>
      <c r="E69" s="107"/>
      <c r="F69" s="107"/>
      <c r="G69" s="107"/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7"/>
      <c r="Z69" s="107"/>
      <c r="AA69" s="107"/>
      <c r="AB69" s="107"/>
      <c r="AC69" s="107"/>
      <c r="AD69" s="107"/>
      <c r="AE69" s="107"/>
      <c r="AF69" s="109"/>
    </row>
    <row r="70" spans="2:32" x14ac:dyDescent="0.2">
      <c r="B70" s="9"/>
    </row>
    <row r="71" spans="2:32" x14ac:dyDescent="0.2">
      <c r="B71" s="9"/>
    </row>
    <row r="72" spans="2:32" x14ac:dyDescent="0.2">
      <c r="B72" s="9"/>
    </row>
    <row r="73" spans="2:32" x14ac:dyDescent="0.2">
      <c r="B73" s="9"/>
    </row>
    <row r="74" spans="2:32" x14ac:dyDescent="0.2">
      <c r="B74" s="9"/>
    </row>
    <row r="75" spans="2:32" x14ac:dyDescent="0.2">
      <c r="B75" s="9"/>
    </row>
    <row r="76" spans="2:32" x14ac:dyDescent="0.2">
      <c r="B76" s="9"/>
    </row>
    <row r="77" spans="2:32" x14ac:dyDescent="0.2">
      <c r="B77" s="9"/>
    </row>
    <row r="90" spans="2:2" x14ac:dyDescent="0.2">
      <c r="B90" s="36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B1:AG64"/>
  <sheetViews>
    <sheetView tabSelected="1" zoomScale="80" zoomScaleNormal="80" workbookViewId="0">
      <selection activeCell="B20" sqref="B20"/>
    </sheetView>
  </sheetViews>
  <sheetFormatPr defaultColWidth="9.140625" defaultRowHeight="12.75" x14ac:dyDescent="0.2"/>
  <cols>
    <col min="1" max="1" width="4.7109375" style="2" customWidth="1"/>
    <col min="2" max="2" width="37.42578125" style="2" customWidth="1"/>
    <col min="3" max="29" width="12" style="2" customWidth="1"/>
    <col min="30" max="30" width="12.42578125" style="2" bestFit="1" customWidth="1"/>
    <col min="31" max="33" width="12.7109375" style="2" bestFit="1" customWidth="1"/>
    <col min="34" max="16384" width="9.140625" style="2"/>
  </cols>
  <sheetData>
    <row r="1" spans="2:33" ht="13.5" thickBot="1" x14ac:dyDescent="0.25"/>
    <row r="2" spans="2:33" ht="23.25" customHeight="1" thickBot="1" x14ac:dyDescent="0.25">
      <c r="B2" s="121"/>
      <c r="C2" s="122">
        <v>1990</v>
      </c>
      <c r="D2" s="122">
        <v>1991</v>
      </c>
      <c r="E2" s="122">
        <v>1992</v>
      </c>
      <c r="F2" s="122">
        <v>1993</v>
      </c>
      <c r="G2" s="122">
        <v>1994</v>
      </c>
      <c r="H2" s="122">
        <v>1995</v>
      </c>
      <c r="I2" s="122">
        <v>1996</v>
      </c>
      <c r="J2" s="122">
        <v>1997</v>
      </c>
      <c r="K2" s="122">
        <v>1998</v>
      </c>
      <c r="L2" s="122">
        <v>1999</v>
      </c>
      <c r="M2" s="122">
        <v>2000</v>
      </c>
      <c r="N2" s="122">
        <v>2001</v>
      </c>
      <c r="O2" s="122">
        <v>2002</v>
      </c>
      <c r="P2" s="122">
        <v>2003</v>
      </c>
      <c r="Q2" s="122">
        <v>2004</v>
      </c>
      <c r="R2" s="122">
        <v>2005</v>
      </c>
      <c r="S2" s="122">
        <v>2006</v>
      </c>
      <c r="T2" s="122">
        <v>2007</v>
      </c>
      <c r="U2" s="122">
        <v>2008</v>
      </c>
      <c r="V2" s="122">
        <v>2009</v>
      </c>
      <c r="W2" s="122">
        <v>2010</v>
      </c>
      <c r="X2" s="122">
        <v>2011</v>
      </c>
      <c r="Y2" s="122">
        <v>2012</v>
      </c>
      <c r="Z2" s="122">
        <v>2013</v>
      </c>
      <c r="AA2" s="122">
        <v>2014</v>
      </c>
      <c r="AB2" s="122">
        <v>2015</v>
      </c>
      <c r="AC2" s="122">
        <v>2016</v>
      </c>
      <c r="AD2" s="122">
        <v>2017</v>
      </c>
      <c r="AE2" s="122">
        <v>2018</v>
      </c>
      <c r="AF2" s="122">
        <v>2019</v>
      </c>
      <c r="AG2" s="123">
        <v>2020</v>
      </c>
    </row>
    <row r="3" spans="2:33" ht="19.5" customHeight="1" x14ac:dyDescent="0.2">
      <c r="B3" s="168" t="s">
        <v>75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70"/>
    </row>
    <row r="4" spans="2:33" x14ac:dyDescent="0.2">
      <c r="B4" s="103" t="s">
        <v>8</v>
      </c>
      <c r="C4" s="3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104"/>
    </row>
    <row r="5" spans="2:33" x14ac:dyDescent="0.2">
      <c r="B5" s="99" t="s">
        <v>9</v>
      </c>
      <c r="C5" s="41">
        <v>6796000</v>
      </c>
      <c r="D5" s="42">
        <v>6880000</v>
      </c>
      <c r="E5" s="42">
        <v>6943000</v>
      </c>
      <c r="F5" s="42">
        <v>6989000</v>
      </c>
      <c r="G5" s="42">
        <v>7037000</v>
      </c>
      <c r="H5" s="42">
        <v>7081000</v>
      </c>
      <c r="I5" s="42">
        <v>7105000</v>
      </c>
      <c r="J5" s="42">
        <v>7113000</v>
      </c>
      <c r="K5" s="42">
        <v>7132000</v>
      </c>
      <c r="L5" s="42">
        <v>7167000</v>
      </c>
      <c r="M5" s="42">
        <v>7209000</v>
      </c>
      <c r="N5" s="42">
        <v>7285000</v>
      </c>
      <c r="O5" s="42">
        <v>7343000</v>
      </c>
      <c r="P5" s="42">
        <v>7405000</v>
      </c>
      <c r="Q5" s="42">
        <v>7454000</v>
      </c>
      <c r="R5" s="42">
        <v>7501000</v>
      </c>
      <c r="S5" s="42">
        <v>7558000</v>
      </c>
      <c r="T5" s="42">
        <v>7619000</v>
      </c>
      <c r="U5" s="42">
        <v>7711000</v>
      </c>
      <c r="V5" s="42">
        <v>7801000</v>
      </c>
      <c r="W5" s="42">
        <v>7878000</v>
      </c>
      <c r="X5" s="42">
        <v>7912000</v>
      </c>
      <c r="Y5" s="42">
        <v>7997000</v>
      </c>
      <c r="Z5" s="42">
        <v>8089000</v>
      </c>
      <c r="AA5" s="42">
        <v>8189000</v>
      </c>
      <c r="AB5" s="42">
        <v>8282000</v>
      </c>
      <c r="AC5" s="42">
        <v>8373000</v>
      </c>
      <c r="AD5" s="42">
        <v>8452000</v>
      </c>
      <c r="AE5" s="42">
        <v>8514000</v>
      </c>
      <c r="AF5" s="42">
        <v>8575000</v>
      </c>
      <c r="AG5" s="110">
        <v>8373000</v>
      </c>
    </row>
    <row r="6" spans="2:33" x14ac:dyDescent="0.2">
      <c r="B6" s="115" t="s">
        <v>156</v>
      </c>
      <c r="C6" s="3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104"/>
    </row>
    <row r="7" spans="2:33" x14ac:dyDescent="0.2">
      <c r="B7" s="156" t="s">
        <v>117</v>
      </c>
      <c r="C7" s="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101"/>
    </row>
    <row r="8" spans="2:33" x14ac:dyDescent="0.2">
      <c r="B8" s="141" t="s">
        <v>12</v>
      </c>
      <c r="C8" s="73">
        <v>0.9</v>
      </c>
      <c r="D8" s="31">
        <v>0.91</v>
      </c>
      <c r="E8" s="31">
        <v>0.91500000000000004</v>
      </c>
      <c r="F8" s="31">
        <v>0.92</v>
      </c>
      <c r="G8" s="31">
        <v>0.93</v>
      </c>
      <c r="H8" s="31">
        <v>0.93700000000000006</v>
      </c>
      <c r="I8" s="31">
        <v>0.94</v>
      </c>
      <c r="J8" s="31">
        <v>0.94499999999999995</v>
      </c>
      <c r="K8" s="31">
        <v>0.95</v>
      </c>
      <c r="L8" s="31">
        <v>0.95200000000000007</v>
      </c>
      <c r="M8" s="31">
        <v>0.95400000000000007</v>
      </c>
      <c r="N8" s="31">
        <v>0.95700000000000007</v>
      </c>
      <c r="O8" s="31">
        <v>0.96</v>
      </c>
      <c r="P8" s="31">
        <v>0.96299999999999997</v>
      </c>
      <c r="Q8" s="31">
        <v>0.96599999999999997</v>
      </c>
      <c r="R8" s="31">
        <v>0.96799999999999997</v>
      </c>
      <c r="S8" s="31">
        <v>0.96900000000000008</v>
      </c>
      <c r="T8" s="31">
        <v>0.97</v>
      </c>
      <c r="U8" s="31">
        <v>0.97099999999999997</v>
      </c>
      <c r="V8" s="31">
        <v>0.97199999999999998</v>
      </c>
      <c r="W8" s="31">
        <v>0.97199999999999998</v>
      </c>
      <c r="X8" s="31">
        <v>0.97299999999999998</v>
      </c>
      <c r="Y8" s="31">
        <v>0.97299999999999998</v>
      </c>
      <c r="Z8" s="31">
        <v>0.97299999999999998</v>
      </c>
      <c r="AA8" s="31">
        <v>0.97299999999999998</v>
      </c>
      <c r="AB8" s="31">
        <v>0.97299999999999998</v>
      </c>
      <c r="AC8" s="31">
        <v>0.97299999999999998</v>
      </c>
      <c r="AD8" s="31">
        <v>0.97299999999999998</v>
      </c>
      <c r="AE8" s="31">
        <v>0.97299999999999998</v>
      </c>
      <c r="AF8" s="31">
        <v>0.97299999999999998</v>
      </c>
      <c r="AG8" s="312">
        <v>0.97299999999999998</v>
      </c>
    </row>
    <row r="9" spans="2:33" x14ac:dyDescent="0.2">
      <c r="B9" s="157" t="s">
        <v>157</v>
      </c>
      <c r="C9" s="78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113"/>
    </row>
    <row r="10" spans="2:33" x14ac:dyDescent="0.2">
      <c r="B10" s="156" t="s">
        <v>135</v>
      </c>
      <c r="C10" s="16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119"/>
    </row>
    <row r="11" spans="2:33" x14ac:dyDescent="0.2">
      <c r="B11" s="141" t="s">
        <v>136</v>
      </c>
      <c r="C11" s="38">
        <v>18.895999999999958</v>
      </c>
      <c r="D11" s="29">
        <v>18.745399999999961</v>
      </c>
      <c r="E11" s="29">
        <v>18.594799999999964</v>
      </c>
      <c r="F11" s="29">
        <v>18.444199999999967</v>
      </c>
      <c r="G11" s="29">
        <v>18.293599999999969</v>
      </c>
      <c r="H11" s="29">
        <v>18.142999999999972</v>
      </c>
      <c r="I11" s="29">
        <v>17.992399999999975</v>
      </c>
      <c r="J11" s="29">
        <v>17.841799999999978</v>
      </c>
      <c r="K11" s="29">
        <v>17.691199999999924</v>
      </c>
      <c r="L11" s="29">
        <v>17.540599999999927</v>
      </c>
      <c r="M11" s="29">
        <v>17.38999999999993</v>
      </c>
      <c r="N11" s="29">
        <v>17.239399999999932</v>
      </c>
      <c r="O11" s="29">
        <v>17.088799999999935</v>
      </c>
      <c r="P11" s="29">
        <v>16.938199999999938</v>
      </c>
      <c r="Q11" s="29">
        <v>16.787599999999941</v>
      </c>
      <c r="R11" s="29">
        <v>16.636999999999944</v>
      </c>
      <c r="S11" s="29">
        <v>16.486399999999946</v>
      </c>
      <c r="T11" s="29">
        <v>16.335799999999949</v>
      </c>
      <c r="U11" s="29">
        <v>16.185199999999952</v>
      </c>
      <c r="V11" s="29">
        <v>16.034599999999955</v>
      </c>
      <c r="W11" s="29">
        <v>15.883999999999958</v>
      </c>
      <c r="X11" s="29">
        <v>15.733399999999961</v>
      </c>
      <c r="Y11" s="29">
        <v>15.582799999999963</v>
      </c>
      <c r="Z11" s="29">
        <v>15.432199999999966</v>
      </c>
      <c r="AA11" s="29">
        <v>15.281599999999969</v>
      </c>
      <c r="AB11" s="29">
        <v>15.130999999999972</v>
      </c>
      <c r="AC11" s="29">
        <v>14.980399999999975</v>
      </c>
      <c r="AD11" s="29">
        <v>14.829799999999977</v>
      </c>
      <c r="AE11" s="29">
        <v>14.679199999999923</v>
      </c>
      <c r="AF11" s="29">
        <v>14.528599999999926</v>
      </c>
      <c r="AG11" s="325">
        <v>14.377999999999929</v>
      </c>
    </row>
    <row r="12" spans="2:33" x14ac:dyDescent="0.2">
      <c r="B12" s="211"/>
      <c r="C12" s="5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20"/>
    </row>
    <row r="13" spans="2:33" x14ac:dyDescent="0.2">
      <c r="B13" s="156" t="s">
        <v>19</v>
      </c>
      <c r="C13" s="3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119"/>
    </row>
    <row r="14" spans="2:33" x14ac:dyDescent="0.2">
      <c r="B14" s="141" t="s">
        <v>5</v>
      </c>
      <c r="C14" s="318">
        <f>C5*C8*C11*365/1000</f>
        <v>42185055.455999903</v>
      </c>
      <c r="D14" s="317">
        <f t="shared" ref="D14:AG14" si="0">D5*D8*D11*365/1000</f>
        <v>42836838.116799913</v>
      </c>
      <c r="E14" s="317">
        <f t="shared" si="0"/>
        <v>43117407.005189918</v>
      </c>
      <c r="F14" s="317">
        <f t="shared" si="0"/>
        <v>43286807.334039927</v>
      </c>
      <c r="G14" s="317">
        <f t="shared" si="0"/>
        <v>43698098.853239931</v>
      </c>
      <c r="H14" s="317">
        <f t="shared" si="0"/>
        <v>43937581.738914929</v>
      </c>
      <c r="I14" s="317">
        <f t="shared" si="0"/>
        <v>43860532.286199935</v>
      </c>
      <c r="J14" s="317">
        <f t="shared" si="0"/>
        <v>43773991.418744951</v>
      </c>
      <c r="K14" s="317">
        <f t="shared" si="0"/>
        <v>43750709.115199812</v>
      </c>
      <c r="L14" s="317">
        <f t="shared" si="0"/>
        <v>43682920.099895827</v>
      </c>
      <c r="M14" s="317">
        <f t="shared" si="0"/>
        <v>43653176.027099833</v>
      </c>
      <c r="N14" s="317">
        <f t="shared" si="0"/>
        <v>43868875.774844833</v>
      </c>
      <c r="O14" s="317">
        <f t="shared" si="0"/>
        <v>43969263.663359836</v>
      </c>
      <c r="P14" s="317">
        <f t="shared" si="0"/>
        <v>44087093.769644834</v>
      </c>
      <c r="Q14" s="317">
        <f t="shared" si="0"/>
        <v>44121268.695335843</v>
      </c>
      <c r="R14" s="317">
        <f t="shared" si="0"/>
        <v>44092264.484839849</v>
      </c>
      <c r="S14" s="317">
        <f t="shared" si="0"/>
        <v>44070640.438271858</v>
      </c>
      <c r="T14" s="317">
        <f t="shared" si="0"/>
        <v>44065934.033809863</v>
      </c>
      <c r="U14" s="317">
        <f t="shared" si="0"/>
        <v>44232437.020837866</v>
      </c>
      <c r="V14" s="317">
        <f t="shared" si="0"/>
        <v>44377980.781787872</v>
      </c>
      <c r="W14" s="317">
        <f t="shared" si="0"/>
        <v>44395094.446559884</v>
      </c>
      <c r="X14" s="317">
        <f t="shared" si="0"/>
        <v>44209394.569815889</v>
      </c>
      <c r="Y14" s="317">
        <f t="shared" si="0"/>
        <v>44256625.587481894</v>
      </c>
      <c r="Z14" s="317">
        <f t="shared" si="0"/>
        <v>44333128.86354091</v>
      </c>
      <c r="AA14" s="317">
        <f t="shared" si="0"/>
        <v>44443208.400247909</v>
      </c>
      <c r="AB14" s="317">
        <f t="shared" si="0"/>
        <v>44504975.07658992</v>
      </c>
      <c r="AC14" s="317">
        <f t="shared" si="0"/>
        <v>44546153.144933924</v>
      </c>
      <c r="AD14" s="317">
        <f t="shared" si="0"/>
        <v>44514396.221091934</v>
      </c>
      <c r="AE14" s="317">
        <f t="shared" si="0"/>
        <v>44385563.536775775</v>
      </c>
      <c r="AF14" s="317">
        <f t="shared" si="0"/>
        <v>44244938.973024771</v>
      </c>
      <c r="AG14" s="319">
        <f t="shared" si="0"/>
        <v>42754838.984129794</v>
      </c>
    </row>
    <row r="15" spans="2:33" x14ac:dyDescent="0.2">
      <c r="B15" s="156" t="s">
        <v>50</v>
      </c>
      <c r="C15" s="82"/>
      <c r="D15" s="83"/>
      <c r="E15" s="83"/>
      <c r="F15" s="83"/>
      <c r="G15" s="83"/>
      <c r="H15" s="83"/>
      <c r="I15" s="83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119"/>
    </row>
    <row r="16" spans="2:33" x14ac:dyDescent="0.2">
      <c r="B16" s="141" t="s">
        <v>15</v>
      </c>
      <c r="C16" s="124">
        <v>0.10729999999999563</v>
      </c>
      <c r="D16" s="124">
        <v>0.13956999999999425</v>
      </c>
      <c r="E16" s="124">
        <v>0.17183999999999286</v>
      </c>
      <c r="F16" s="124">
        <v>0.20411000000000057</v>
      </c>
      <c r="G16" s="124">
        <v>0.2363799999999992</v>
      </c>
      <c r="H16" s="124">
        <v>0.26864999999999783</v>
      </c>
      <c r="I16" s="124">
        <v>0.30091999999999641</v>
      </c>
      <c r="J16" s="124">
        <v>0.30772699999999986</v>
      </c>
      <c r="K16" s="124">
        <v>0.32081799999999933</v>
      </c>
      <c r="L16" s="124">
        <v>0.33390899999999873</v>
      </c>
      <c r="M16" s="124">
        <v>0.3469999999999982</v>
      </c>
      <c r="N16" s="124">
        <v>0.36009099999999761</v>
      </c>
      <c r="O16" s="124">
        <v>0.37318199999999707</v>
      </c>
      <c r="P16" s="124">
        <v>0.38627299999999648</v>
      </c>
      <c r="Q16" s="124">
        <v>0.3993640000000005</v>
      </c>
      <c r="R16" s="124">
        <v>0.41245499999999991</v>
      </c>
      <c r="S16" s="124">
        <v>0.42554599999999937</v>
      </c>
      <c r="T16" s="124">
        <v>0.43863699999999883</v>
      </c>
      <c r="U16" s="124">
        <v>0.45172799999999824</v>
      </c>
      <c r="V16" s="124">
        <v>0.46481899999999771</v>
      </c>
      <c r="W16" s="125">
        <v>0.47790999999999711</v>
      </c>
      <c r="X16" s="125">
        <v>0.4919780000000003</v>
      </c>
      <c r="Y16" s="125">
        <v>0.49677600000000099</v>
      </c>
      <c r="Z16" s="125">
        <v>0.50157400000000052</v>
      </c>
      <c r="AA16" s="125">
        <v>0.50637200000000004</v>
      </c>
      <c r="AB16" s="125">
        <v>0.51117000000000079</v>
      </c>
      <c r="AC16" s="125">
        <v>0.51596800000000032</v>
      </c>
      <c r="AD16" s="125">
        <v>0.52076600000000095</v>
      </c>
      <c r="AE16" s="125">
        <v>0.52556400000000059</v>
      </c>
      <c r="AF16" s="125">
        <v>0.53036200000000011</v>
      </c>
      <c r="AG16" s="126">
        <v>0.53516000000000075</v>
      </c>
    </row>
    <row r="17" spans="2:33" x14ac:dyDescent="0.2">
      <c r="B17" s="157" t="s">
        <v>163</v>
      </c>
      <c r="C17" s="86"/>
      <c r="D17" s="87"/>
      <c r="E17" s="87"/>
      <c r="F17" s="87"/>
      <c r="G17" s="87"/>
      <c r="H17" s="87"/>
      <c r="I17" s="87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120"/>
    </row>
    <row r="18" spans="2:33" x14ac:dyDescent="0.2">
      <c r="B18" s="156" t="s">
        <v>28</v>
      </c>
      <c r="C18" s="88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119"/>
    </row>
    <row r="19" spans="2:33" ht="13.5" thickBot="1" x14ac:dyDescent="0.25">
      <c r="B19" s="141" t="s">
        <v>5</v>
      </c>
      <c r="C19" s="318">
        <f t="shared" ref="C19:AG19" si="1">(1-C16)*C14</f>
        <v>37658599.005571298</v>
      </c>
      <c r="D19" s="320">
        <f t="shared" si="1"/>
        <v>36858100.620838396</v>
      </c>
      <c r="E19" s="320">
        <f t="shared" si="1"/>
        <v>35708111.785418391</v>
      </c>
      <c r="F19" s="320">
        <f t="shared" si="1"/>
        <v>34451537.089089014</v>
      </c>
      <c r="G19" s="320">
        <f t="shared" si="1"/>
        <v>33368742.246311113</v>
      </c>
      <c r="H19" s="320">
        <f t="shared" si="1"/>
        <v>32133750.404755529</v>
      </c>
      <c r="I19" s="320">
        <f t="shared" si="1"/>
        <v>30662020.910636809</v>
      </c>
      <c r="J19" s="320">
        <f t="shared" si="1"/>
        <v>30303552.361428831</v>
      </c>
      <c r="K19" s="320">
        <f t="shared" si="1"/>
        <v>29714694.118279666</v>
      </c>
      <c r="L19" s="320">
        <f t="shared" si="1"/>
        <v>29096799.932259768</v>
      </c>
      <c r="M19" s="320">
        <f t="shared" si="1"/>
        <v>28505523.945696268</v>
      </c>
      <c r="N19" s="320">
        <f t="shared" si="1"/>
        <v>28072088.428205285</v>
      </c>
      <c r="O19" s="320">
        <f t="shared" si="1"/>
        <v>27560725.910940018</v>
      </c>
      <c r="P19" s="320">
        <f t="shared" si="1"/>
        <v>27057439.797962967</v>
      </c>
      <c r="Q19" s="320">
        <f t="shared" si="1"/>
        <v>26500822.344091717</v>
      </c>
      <c r="R19" s="320">
        <f t="shared" si="1"/>
        <v>25906189.536745232</v>
      </c>
      <c r="S19" s="320">
        <f t="shared" si="1"/>
        <v>25316555.682327051</v>
      </c>
      <c r="T19" s="320">
        <f t="shared" si="1"/>
        <v>24736984.927021656</v>
      </c>
      <c r="U19" s="320">
        <f t="shared" si="1"/>
        <v>24251406.710288897</v>
      </c>
      <c r="V19" s="320">
        <f t="shared" si="1"/>
        <v>23750252.132778119</v>
      </c>
      <c r="W19" s="320">
        <f t="shared" si="1"/>
        <v>23178234.859604575</v>
      </c>
      <c r="X19" s="320">
        <f t="shared" si="1"/>
        <v>22459345.048146997</v>
      </c>
      <c r="Y19" s="320">
        <f t="shared" si="1"/>
        <v>22270996.154634945</v>
      </c>
      <c r="Z19" s="320">
        <f t="shared" si="1"/>
        <v>22096784.086939219</v>
      </c>
      <c r="AA19" s="320">
        <f t="shared" si="1"/>
        <v>21938412.076197572</v>
      </c>
      <c r="AB19" s="320">
        <f t="shared" si="1"/>
        <v>21755366.966689415</v>
      </c>
      <c r="AC19" s="320">
        <f t="shared" si="1"/>
        <v>21561763.599048644</v>
      </c>
      <c r="AD19" s="320">
        <f t="shared" si="1"/>
        <v>21332812.15861873</v>
      </c>
      <c r="AE19" s="320">
        <f t="shared" si="1"/>
        <v>21058109.222133726</v>
      </c>
      <c r="AF19" s="320">
        <f t="shared" si="1"/>
        <v>20779104.649413403</v>
      </c>
      <c r="AG19" s="321">
        <f t="shared" si="1"/>
        <v>19874159.353382863</v>
      </c>
    </row>
    <row r="20" spans="2:33" ht="19.5" customHeight="1" x14ac:dyDescent="0.2">
      <c r="B20" s="168" t="s">
        <v>123</v>
      </c>
      <c r="C20" s="169"/>
      <c r="D20" s="169"/>
      <c r="E20" s="169"/>
      <c r="F20" s="169"/>
      <c r="G20" s="169"/>
      <c r="H20" s="169"/>
      <c r="I20" s="169"/>
      <c r="J20" s="169"/>
      <c r="K20" s="169"/>
      <c r="L20" s="169"/>
      <c r="M20" s="169"/>
      <c r="N20" s="169"/>
      <c r="O20" s="169"/>
      <c r="P20" s="169"/>
      <c r="Q20" s="169"/>
      <c r="R20" s="169"/>
      <c r="S20" s="169"/>
      <c r="T20" s="169"/>
      <c r="U20" s="169"/>
      <c r="V20" s="169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170"/>
    </row>
    <row r="21" spans="2:33" s="72" customFormat="1" x14ac:dyDescent="0.2">
      <c r="B21" s="322" t="s">
        <v>137</v>
      </c>
      <c r="C21" s="89"/>
      <c r="D21" s="90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8"/>
    </row>
    <row r="22" spans="2:33" s="72" customFormat="1" x14ac:dyDescent="0.2">
      <c r="B22" s="141" t="s">
        <v>138</v>
      </c>
      <c r="C22" s="313">
        <v>0.93056000000000494</v>
      </c>
      <c r="D22" s="314">
        <v>0.90160400000000662</v>
      </c>
      <c r="E22" s="315">
        <v>0.8726479999999992</v>
      </c>
      <c r="F22" s="315">
        <v>0.84369200000000089</v>
      </c>
      <c r="G22" s="315">
        <v>0.81473600000000257</v>
      </c>
      <c r="H22" s="315">
        <v>0.78578000000000425</v>
      </c>
      <c r="I22" s="315">
        <v>0.75682400000000594</v>
      </c>
      <c r="J22" s="315">
        <v>0.72786799999999863</v>
      </c>
      <c r="K22" s="315">
        <v>0.69891200000000031</v>
      </c>
      <c r="L22" s="315">
        <v>0.66995600000000199</v>
      </c>
      <c r="M22" s="315">
        <v>0.64100000000000368</v>
      </c>
      <c r="N22" s="315">
        <v>0.61204400000000536</v>
      </c>
      <c r="O22" s="315">
        <v>0.58308800000000705</v>
      </c>
      <c r="P22" s="315">
        <v>0.55413199999999962</v>
      </c>
      <c r="Q22" s="315">
        <v>0.52517600000000131</v>
      </c>
      <c r="R22" s="315">
        <v>0.49622000000000299</v>
      </c>
      <c r="S22" s="315">
        <v>0.46726400000000468</v>
      </c>
      <c r="T22" s="315">
        <v>0.43830800000000636</v>
      </c>
      <c r="U22" s="315">
        <v>0.40935199999999894</v>
      </c>
      <c r="V22" s="315">
        <v>0.38039600000000062</v>
      </c>
      <c r="W22" s="314">
        <v>0.35144000000000231</v>
      </c>
      <c r="X22" s="314">
        <v>0.34099999999999908</v>
      </c>
      <c r="Y22" s="314">
        <v>0.33200000000000046</v>
      </c>
      <c r="Z22" s="314">
        <v>0.32299999999999957</v>
      </c>
      <c r="AA22" s="314">
        <v>0.31399999999999861</v>
      </c>
      <c r="AB22" s="314">
        <v>0.30499999999999999</v>
      </c>
      <c r="AC22" s="314">
        <v>0.2959999999999991</v>
      </c>
      <c r="AD22" s="314">
        <v>0.28700000000000048</v>
      </c>
      <c r="AE22" s="314">
        <v>0.27799999999999953</v>
      </c>
      <c r="AF22" s="314">
        <v>0.26899999999999863</v>
      </c>
      <c r="AG22" s="316">
        <v>0.26</v>
      </c>
    </row>
    <row r="23" spans="2:33" s="72" customFormat="1" x14ac:dyDescent="0.2">
      <c r="B23" s="157"/>
      <c r="C23" s="292"/>
      <c r="D23" s="293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  <c r="V23" s="294"/>
      <c r="W23" s="293"/>
      <c r="X23" s="293"/>
      <c r="Y23" s="293"/>
      <c r="Z23" s="293"/>
      <c r="AA23" s="293"/>
      <c r="AB23" s="293"/>
      <c r="AC23" s="293"/>
      <c r="AD23" s="293"/>
      <c r="AE23" s="293"/>
      <c r="AF23" s="293"/>
      <c r="AG23" s="295"/>
    </row>
    <row r="24" spans="2:33" s="72" customFormat="1" x14ac:dyDescent="0.2">
      <c r="B24" s="322" t="s">
        <v>141</v>
      </c>
      <c r="C24" s="296"/>
      <c r="D24" s="289"/>
      <c r="E24" s="290"/>
      <c r="F24" s="290"/>
      <c r="G24" s="290"/>
      <c r="H24" s="290"/>
      <c r="I24" s="290"/>
      <c r="J24" s="290"/>
      <c r="K24" s="290"/>
      <c r="L24" s="290"/>
      <c r="M24" s="290"/>
      <c r="N24" s="290"/>
      <c r="O24" s="290"/>
      <c r="P24" s="290"/>
      <c r="Q24" s="290"/>
      <c r="R24" s="290"/>
      <c r="S24" s="290"/>
      <c r="T24" s="290"/>
      <c r="U24" s="290"/>
      <c r="V24" s="290"/>
      <c r="W24" s="289"/>
      <c r="X24" s="289"/>
      <c r="Y24" s="289"/>
      <c r="Z24" s="289"/>
      <c r="AA24" s="289"/>
      <c r="AB24" s="289"/>
      <c r="AC24" s="289"/>
      <c r="AD24" s="289"/>
      <c r="AE24" s="289"/>
      <c r="AF24" s="289"/>
      <c r="AG24" s="291"/>
    </row>
    <row r="25" spans="2:33" s="72" customFormat="1" ht="15.75" x14ac:dyDescent="0.3">
      <c r="B25" s="141" t="s">
        <v>54</v>
      </c>
      <c r="C25" s="296">
        <v>4.3799999999999999E-2</v>
      </c>
      <c r="D25" s="289">
        <v>4.3799999999999999E-2</v>
      </c>
      <c r="E25" s="290">
        <v>4.3799999999999999E-2</v>
      </c>
      <c r="F25" s="290">
        <v>4.3799999999999999E-2</v>
      </c>
      <c r="G25" s="290">
        <v>4.3799999999999999E-2</v>
      </c>
      <c r="H25" s="290">
        <v>4.3799999999999999E-2</v>
      </c>
      <c r="I25" s="290">
        <v>4.3799999999999999E-2</v>
      </c>
      <c r="J25" s="290">
        <v>4.3799999999999999E-2</v>
      </c>
      <c r="K25" s="290">
        <v>4.3799999999999999E-2</v>
      </c>
      <c r="L25" s="290">
        <v>4.3799999999999999E-2</v>
      </c>
      <c r="M25" s="290">
        <v>4.3799999999999999E-2</v>
      </c>
      <c r="N25" s="290">
        <v>4.3799999999999999E-2</v>
      </c>
      <c r="O25" s="290">
        <v>4.3799999999999999E-2</v>
      </c>
      <c r="P25" s="290">
        <v>4.3799999999999999E-2</v>
      </c>
      <c r="Q25" s="290">
        <v>4.3799999999999999E-2</v>
      </c>
      <c r="R25" s="290">
        <v>4.3799999999999999E-2</v>
      </c>
      <c r="S25" s="290">
        <v>4.3799999999999999E-2</v>
      </c>
      <c r="T25" s="290">
        <v>4.3799999999999999E-2</v>
      </c>
      <c r="U25" s="290">
        <v>4.3799999999999999E-2</v>
      </c>
      <c r="V25" s="290">
        <v>4.3799999999999999E-2</v>
      </c>
      <c r="W25" s="289">
        <v>4.3799999999999999E-2</v>
      </c>
      <c r="X25" s="289">
        <v>4.3799999999999999E-2</v>
      </c>
      <c r="Y25" s="289">
        <v>4.3799999999999999E-2</v>
      </c>
      <c r="Z25" s="289">
        <v>4.3799999999999999E-2</v>
      </c>
      <c r="AA25" s="289">
        <v>4.3799999999999999E-2</v>
      </c>
      <c r="AB25" s="289">
        <v>4.3799999999999999E-2</v>
      </c>
      <c r="AC25" s="289">
        <v>4.3799999999999999E-2</v>
      </c>
      <c r="AD25" s="289">
        <v>4.3799999999999999E-2</v>
      </c>
      <c r="AE25" s="289">
        <v>4.3799999999999999E-2</v>
      </c>
      <c r="AF25" s="289">
        <v>4.3799999999999999E-2</v>
      </c>
      <c r="AG25" s="291">
        <v>4.3799999999999999E-2</v>
      </c>
    </row>
    <row r="26" spans="2:33" s="72" customFormat="1" x14ac:dyDescent="0.2">
      <c r="B26" s="211"/>
      <c r="C26" s="296"/>
      <c r="D26" s="289"/>
      <c r="E26" s="290"/>
      <c r="F26" s="290"/>
      <c r="G26" s="290"/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290"/>
      <c r="T26" s="290"/>
      <c r="U26" s="290"/>
      <c r="V26" s="290"/>
      <c r="W26" s="289"/>
      <c r="X26" s="289"/>
      <c r="Y26" s="289"/>
      <c r="Z26" s="289"/>
      <c r="AA26" s="289"/>
      <c r="AB26" s="289"/>
      <c r="AC26" s="289"/>
      <c r="AD26" s="289"/>
      <c r="AE26" s="289"/>
      <c r="AF26" s="289"/>
      <c r="AG26" s="291"/>
    </row>
    <row r="27" spans="2:33" s="72" customFormat="1" x14ac:dyDescent="0.2">
      <c r="B27" s="322" t="s">
        <v>139</v>
      </c>
      <c r="C27" s="89"/>
      <c r="D27" s="90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8"/>
    </row>
    <row r="28" spans="2:33" s="72" customFormat="1" x14ac:dyDescent="0.2">
      <c r="B28" s="141" t="s">
        <v>138</v>
      </c>
      <c r="C28" s="313">
        <v>5.2030000000004295E-2</v>
      </c>
      <c r="D28" s="314">
        <v>6.5027000000004595E-2</v>
      </c>
      <c r="E28" s="315">
        <v>7.8024000000004895E-2</v>
      </c>
      <c r="F28" s="315">
        <v>9.1021000000005181E-2</v>
      </c>
      <c r="G28" s="315">
        <v>0.10401800000000548</v>
      </c>
      <c r="H28" s="315">
        <v>0.11701500000000124</v>
      </c>
      <c r="I28" s="315">
        <v>0.13001200000000154</v>
      </c>
      <c r="J28" s="315">
        <v>0.14300900000000183</v>
      </c>
      <c r="K28" s="315">
        <v>0.15600600000000214</v>
      </c>
      <c r="L28" s="315">
        <v>0.16900300000000243</v>
      </c>
      <c r="M28" s="315">
        <v>0.18200000000000272</v>
      </c>
      <c r="N28" s="315">
        <v>0.19499700000000303</v>
      </c>
      <c r="O28" s="315">
        <v>0.20799400000000332</v>
      </c>
      <c r="P28" s="315">
        <v>0.22099100000000363</v>
      </c>
      <c r="Q28" s="315">
        <v>0.23398800000000392</v>
      </c>
      <c r="R28" s="315">
        <v>0.24698500000000423</v>
      </c>
      <c r="S28" s="315">
        <v>0.25998200000000454</v>
      </c>
      <c r="T28" s="315">
        <v>0.2729790000000048</v>
      </c>
      <c r="U28" s="315">
        <v>0.28597600000000511</v>
      </c>
      <c r="V28" s="315">
        <v>0.29897300000000543</v>
      </c>
      <c r="W28" s="314">
        <v>0.31197000000000119</v>
      </c>
      <c r="X28" s="314">
        <v>0.32800000000000185</v>
      </c>
      <c r="Y28" s="314">
        <v>0.33600000000000135</v>
      </c>
      <c r="Z28" s="314">
        <v>0.34400000000000092</v>
      </c>
      <c r="AA28" s="314">
        <v>0.35200000000000048</v>
      </c>
      <c r="AB28" s="314">
        <v>0.36</v>
      </c>
      <c r="AC28" s="314">
        <v>0.36800000000000183</v>
      </c>
      <c r="AD28" s="314">
        <v>0.37600000000000139</v>
      </c>
      <c r="AE28" s="314">
        <v>0.3840000000000009</v>
      </c>
      <c r="AF28" s="314">
        <v>0.39200000000000046</v>
      </c>
      <c r="AG28" s="316">
        <v>0.4</v>
      </c>
    </row>
    <row r="29" spans="2:33" s="72" customFormat="1" x14ac:dyDescent="0.2">
      <c r="B29" s="157"/>
      <c r="C29" s="292"/>
      <c r="D29" s="293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4"/>
      <c r="P29" s="294"/>
      <c r="Q29" s="294"/>
      <c r="R29" s="294"/>
      <c r="S29" s="294"/>
      <c r="T29" s="294"/>
      <c r="U29" s="294"/>
      <c r="V29" s="294"/>
      <c r="W29" s="293"/>
      <c r="X29" s="293"/>
      <c r="Y29" s="293"/>
      <c r="Z29" s="293"/>
      <c r="AA29" s="293"/>
      <c r="AB29" s="293"/>
      <c r="AC29" s="293"/>
      <c r="AD29" s="293"/>
      <c r="AE29" s="293"/>
      <c r="AF29" s="293"/>
      <c r="AG29" s="295"/>
    </row>
    <row r="30" spans="2:33" s="72" customFormat="1" x14ac:dyDescent="0.2">
      <c r="B30" s="322" t="s">
        <v>143</v>
      </c>
      <c r="C30" s="296"/>
      <c r="D30" s="289"/>
      <c r="E30" s="290"/>
      <c r="F30" s="290"/>
      <c r="G30" s="290"/>
      <c r="H30" s="290"/>
      <c r="I30" s="290"/>
      <c r="J30" s="290"/>
      <c r="K30" s="290"/>
      <c r="L30" s="290"/>
      <c r="M30" s="290"/>
      <c r="N30" s="290"/>
      <c r="O30" s="290"/>
      <c r="P30" s="290"/>
      <c r="Q30" s="290"/>
      <c r="R30" s="290"/>
      <c r="S30" s="290"/>
      <c r="T30" s="290"/>
      <c r="U30" s="290"/>
      <c r="V30" s="290"/>
      <c r="W30" s="289"/>
      <c r="X30" s="289"/>
      <c r="Y30" s="289"/>
      <c r="Z30" s="289"/>
      <c r="AA30" s="289"/>
      <c r="AB30" s="289"/>
      <c r="AC30" s="289"/>
      <c r="AD30" s="289"/>
      <c r="AE30" s="289"/>
      <c r="AF30" s="289"/>
      <c r="AG30" s="291"/>
    </row>
    <row r="31" spans="2:33" s="72" customFormat="1" ht="15.75" x14ac:dyDescent="0.3">
      <c r="B31" s="141" t="s">
        <v>54</v>
      </c>
      <c r="C31" s="296">
        <v>1.7999999999999999E-2</v>
      </c>
      <c r="D31" s="289">
        <v>1.7999999999999999E-2</v>
      </c>
      <c r="E31" s="290">
        <v>1.7999999999999999E-2</v>
      </c>
      <c r="F31" s="290">
        <v>1.7999999999999999E-2</v>
      </c>
      <c r="G31" s="290">
        <v>1.7999999999999999E-2</v>
      </c>
      <c r="H31" s="290">
        <v>1.7999999999999999E-2</v>
      </c>
      <c r="I31" s="290">
        <v>1.7999999999999999E-2</v>
      </c>
      <c r="J31" s="290">
        <v>1.7999999999999999E-2</v>
      </c>
      <c r="K31" s="290">
        <v>1.7999999999999999E-2</v>
      </c>
      <c r="L31" s="290">
        <v>1.7999999999999999E-2</v>
      </c>
      <c r="M31" s="290">
        <v>1.7999999999999999E-2</v>
      </c>
      <c r="N31" s="290">
        <v>1.7999999999999999E-2</v>
      </c>
      <c r="O31" s="290">
        <v>1.7999999999999999E-2</v>
      </c>
      <c r="P31" s="290">
        <v>1.7999999999999999E-2</v>
      </c>
      <c r="Q31" s="290">
        <v>1.7999999999999999E-2</v>
      </c>
      <c r="R31" s="290">
        <v>1.7999999999999999E-2</v>
      </c>
      <c r="S31" s="290">
        <v>1.7999999999999999E-2</v>
      </c>
      <c r="T31" s="290">
        <v>1.7999999999999999E-2</v>
      </c>
      <c r="U31" s="290">
        <v>1.7999999999999999E-2</v>
      </c>
      <c r="V31" s="290">
        <v>1.7999999999999999E-2</v>
      </c>
      <c r="W31" s="289">
        <v>1.7999999999999999E-2</v>
      </c>
      <c r="X31" s="289">
        <v>1.7999999999999999E-2</v>
      </c>
      <c r="Y31" s="289">
        <v>1.7999999999999999E-2</v>
      </c>
      <c r="Z31" s="289">
        <v>1.7999999999999999E-2</v>
      </c>
      <c r="AA31" s="289">
        <v>1.7999999999999999E-2</v>
      </c>
      <c r="AB31" s="289">
        <v>1.7999999999999999E-2</v>
      </c>
      <c r="AC31" s="289">
        <v>1.7999999999999999E-2</v>
      </c>
      <c r="AD31" s="289">
        <v>1.7999999999999999E-2</v>
      </c>
      <c r="AE31" s="289">
        <v>1.7999999999999999E-2</v>
      </c>
      <c r="AF31" s="289">
        <v>1.7999999999999999E-2</v>
      </c>
      <c r="AG31" s="291">
        <v>1.7999999999999999E-2</v>
      </c>
    </row>
    <row r="32" spans="2:33" s="72" customFormat="1" x14ac:dyDescent="0.2">
      <c r="B32" s="211"/>
      <c r="C32" s="296"/>
      <c r="D32" s="289"/>
      <c r="E32" s="290"/>
      <c r="F32" s="290"/>
      <c r="G32" s="290"/>
      <c r="H32" s="290"/>
      <c r="I32" s="290"/>
      <c r="J32" s="290"/>
      <c r="K32" s="290"/>
      <c r="L32" s="290"/>
      <c r="M32" s="290"/>
      <c r="N32" s="290"/>
      <c r="O32" s="290"/>
      <c r="P32" s="290"/>
      <c r="Q32" s="290"/>
      <c r="R32" s="290"/>
      <c r="S32" s="290"/>
      <c r="T32" s="290"/>
      <c r="U32" s="290"/>
      <c r="V32" s="290"/>
      <c r="W32" s="289"/>
      <c r="X32" s="289"/>
      <c r="Y32" s="289"/>
      <c r="Z32" s="289"/>
      <c r="AA32" s="289"/>
      <c r="AB32" s="289"/>
      <c r="AC32" s="289"/>
      <c r="AD32" s="289"/>
      <c r="AE32" s="289"/>
      <c r="AF32" s="289"/>
      <c r="AG32" s="291"/>
    </row>
    <row r="33" spans="2:33" s="72" customFormat="1" x14ac:dyDescent="0.2">
      <c r="B33" s="322" t="s">
        <v>140</v>
      </c>
      <c r="C33" s="89"/>
      <c r="D33" s="90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8"/>
    </row>
    <row r="34" spans="2:33" s="72" customFormat="1" x14ac:dyDescent="0.2">
      <c r="B34" s="141" t="s">
        <v>138</v>
      </c>
      <c r="C34" s="313">
        <v>1.8410000000003493E-2</v>
      </c>
      <c r="D34" s="314">
        <v>3.4369000000001509E-2</v>
      </c>
      <c r="E34" s="315">
        <v>5.0328000000004064E-2</v>
      </c>
      <c r="F34" s="315">
        <v>6.628700000000208E-2</v>
      </c>
      <c r="G34" s="315">
        <v>8.2246000000000097E-2</v>
      </c>
      <c r="H34" s="315">
        <v>9.8205000000002651E-2</v>
      </c>
      <c r="I34" s="315">
        <v>0.11416400000000067</v>
      </c>
      <c r="J34" s="315">
        <v>0.13012300000000324</v>
      </c>
      <c r="K34" s="315">
        <v>0.14608200000000124</v>
      </c>
      <c r="L34" s="315">
        <v>0.16204100000000379</v>
      </c>
      <c r="M34" s="315">
        <v>0.17800000000000182</v>
      </c>
      <c r="N34" s="315">
        <v>0.19395899999999983</v>
      </c>
      <c r="O34" s="315">
        <v>0.20991800000000238</v>
      </c>
      <c r="P34" s="315">
        <v>0.22587700000000041</v>
      </c>
      <c r="Q34" s="315">
        <v>0.24183600000000297</v>
      </c>
      <c r="R34" s="315">
        <v>0.257795000000001</v>
      </c>
      <c r="S34" s="315">
        <v>0.27375400000000355</v>
      </c>
      <c r="T34" s="315">
        <v>0.28971300000000155</v>
      </c>
      <c r="U34" s="315">
        <v>0.30567200000000411</v>
      </c>
      <c r="V34" s="315">
        <v>0.32163100000000211</v>
      </c>
      <c r="W34" s="314">
        <v>0.33759000000000017</v>
      </c>
      <c r="X34" s="314">
        <v>0.33759000000000017</v>
      </c>
      <c r="Y34" s="314">
        <v>0.33759000000000017</v>
      </c>
      <c r="Z34" s="314">
        <v>0.33759000000000017</v>
      </c>
      <c r="AA34" s="314">
        <v>0.33759000000000017</v>
      </c>
      <c r="AB34" s="314">
        <v>0.33759000000000017</v>
      </c>
      <c r="AC34" s="314">
        <v>0.33759000000000017</v>
      </c>
      <c r="AD34" s="314">
        <v>0.33759000000000017</v>
      </c>
      <c r="AE34" s="314">
        <v>0.33759000000000017</v>
      </c>
      <c r="AF34" s="314">
        <v>0.33759000000000017</v>
      </c>
      <c r="AG34" s="316">
        <v>0.33759000000000017</v>
      </c>
    </row>
    <row r="35" spans="2:33" s="72" customFormat="1" x14ac:dyDescent="0.2">
      <c r="B35" s="157"/>
      <c r="C35" s="292"/>
      <c r="D35" s="293"/>
      <c r="E35" s="294"/>
      <c r="F35" s="294"/>
      <c r="G35" s="294"/>
      <c r="H35" s="294"/>
      <c r="I35" s="294"/>
      <c r="J35" s="294"/>
      <c r="K35" s="294"/>
      <c r="L35" s="294"/>
      <c r="M35" s="294"/>
      <c r="N35" s="294"/>
      <c r="O35" s="294"/>
      <c r="P35" s="294"/>
      <c r="Q35" s="294"/>
      <c r="R35" s="294"/>
      <c r="S35" s="294"/>
      <c r="T35" s="294"/>
      <c r="U35" s="294"/>
      <c r="V35" s="294"/>
      <c r="W35" s="293"/>
      <c r="X35" s="293"/>
      <c r="Y35" s="293"/>
      <c r="Z35" s="293"/>
      <c r="AA35" s="293"/>
      <c r="AB35" s="293"/>
      <c r="AC35" s="293"/>
      <c r="AD35" s="293"/>
      <c r="AE35" s="293"/>
      <c r="AF35" s="293"/>
      <c r="AG35" s="295"/>
    </row>
    <row r="36" spans="2:33" s="72" customFormat="1" x14ac:dyDescent="0.2">
      <c r="B36" s="322" t="s">
        <v>142</v>
      </c>
      <c r="C36" s="89"/>
      <c r="D36" s="90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8"/>
    </row>
    <row r="37" spans="2:33" s="72" customFormat="1" ht="15.75" x14ac:dyDescent="0.3">
      <c r="B37" s="141" t="s">
        <v>54</v>
      </c>
      <c r="C37" s="288">
        <v>4.0000000000000001E-3</v>
      </c>
      <c r="D37" s="289">
        <v>4.0000000000000001E-3</v>
      </c>
      <c r="E37" s="290">
        <v>4.0000000000000001E-3</v>
      </c>
      <c r="F37" s="290">
        <v>4.0000000000000001E-3</v>
      </c>
      <c r="G37" s="290">
        <v>4.0000000000000001E-3</v>
      </c>
      <c r="H37" s="290">
        <v>4.0000000000000001E-3</v>
      </c>
      <c r="I37" s="290">
        <v>4.0000000000000001E-3</v>
      </c>
      <c r="J37" s="290">
        <v>4.0000000000000001E-3</v>
      </c>
      <c r="K37" s="290">
        <v>4.0000000000000001E-3</v>
      </c>
      <c r="L37" s="290">
        <v>4.0000000000000001E-3</v>
      </c>
      <c r="M37" s="290">
        <v>4.0000000000000001E-3</v>
      </c>
      <c r="N37" s="290">
        <v>4.0000000000000001E-3</v>
      </c>
      <c r="O37" s="290">
        <v>4.0000000000000001E-3</v>
      </c>
      <c r="P37" s="290">
        <v>4.0000000000000001E-3</v>
      </c>
      <c r="Q37" s="290">
        <v>4.0000000000000001E-3</v>
      </c>
      <c r="R37" s="290">
        <v>4.0000000000000001E-3</v>
      </c>
      <c r="S37" s="290">
        <v>4.0000000000000001E-3</v>
      </c>
      <c r="T37" s="290">
        <v>4.0000000000000001E-3</v>
      </c>
      <c r="U37" s="290">
        <v>4.0000000000000001E-3</v>
      </c>
      <c r="V37" s="290">
        <v>4.0000000000000001E-3</v>
      </c>
      <c r="W37" s="289">
        <v>4.0000000000000001E-3</v>
      </c>
      <c r="X37" s="289">
        <v>4.0000000000000001E-3</v>
      </c>
      <c r="Y37" s="289">
        <v>4.0000000000000001E-3</v>
      </c>
      <c r="Z37" s="289">
        <v>4.0000000000000001E-3</v>
      </c>
      <c r="AA37" s="289">
        <v>4.0000000000000001E-3</v>
      </c>
      <c r="AB37" s="289">
        <v>4.0000000000000001E-3</v>
      </c>
      <c r="AC37" s="289">
        <v>4.0000000000000001E-3</v>
      </c>
      <c r="AD37" s="289">
        <v>4.0000000000000001E-3</v>
      </c>
      <c r="AE37" s="289">
        <v>4.0000000000000001E-3</v>
      </c>
      <c r="AF37" s="289">
        <v>4.0000000000000001E-3</v>
      </c>
      <c r="AG37" s="291">
        <v>4.0000000000000001E-3</v>
      </c>
    </row>
    <row r="38" spans="2:33" s="72" customFormat="1" x14ac:dyDescent="0.2">
      <c r="B38" s="157"/>
      <c r="C38" s="292"/>
      <c r="D38" s="293"/>
      <c r="E38" s="294"/>
      <c r="F38" s="294"/>
      <c r="G38" s="294"/>
      <c r="H38" s="294"/>
      <c r="I38" s="294"/>
      <c r="J38" s="294"/>
      <c r="K38" s="294"/>
      <c r="L38" s="294"/>
      <c r="M38" s="294"/>
      <c r="N38" s="294"/>
      <c r="O38" s="294"/>
      <c r="P38" s="294"/>
      <c r="Q38" s="294"/>
      <c r="R38" s="294"/>
      <c r="S38" s="294"/>
      <c r="T38" s="294"/>
      <c r="U38" s="294"/>
      <c r="V38" s="294"/>
      <c r="W38" s="293"/>
      <c r="X38" s="293"/>
      <c r="Y38" s="293"/>
      <c r="Z38" s="293"/>
      <c r="AA38" s="293"/>
      <c r="AB38" s="293"/>
      <c r="AC38" s="293"/>
      <c r="AD38" s="293"/>
      <c r="AE38" s="293"/>
      <c r="AF38" s="293"/>
      <c r="AG38" s="295"/>
    </row>
    <row r="39" spans="2:33" s="72" customFormat="1" x14ac:dyDescent="0.2">
      <c r="B39" s="140" t="s">
        <v>149</v>
      </c>
      <c r="C39" s="296"/>
      <c r="D39" s="289"/>
      <c r="E39" s="290"/>
      <c r="F39" s="290"/>
      <c r="G39" s="290"/>
      <c r="H39" s="290"/>
      <c r="I39" s="290"/>
      <c r="J39" s="290"/>
      <c r="K39" s="290"/>
      <c r="L39" s="290"/>
      <c r="M39" s="290"/>
      <c r="N39" s="290"/>
      <c r="O39" s="290"/>
      <c r="P39" s="290"/>
      <c r="Q39" s="290"/>
      <c r="R39" s="290"/>
      <c r="S39" s="290"/>
      <c r="T39" s="290"/>
      <c r="U39" s="290"/>
      <c r="V39" s="290"/>
      <c r="W39" s="289"/>
      <c r="X39" s="289"/>
      <c r="Y39" s="289"/>
      <c r="Z39" s="289"/>
      <c r="AA39" s="289"/>
      <c r="AB39" s="289"/>
      <c r="AC39" s="289"/>
      <c r="AD39" s="289"/>
      <c r="AE39" s="289"/>
      <c r="AF39" s="289"/>
      <c r="AG39" s="291"/>
    </row>
    <row r="40" spans="2:33" s="72" customFormat="1" x14ac:dyDescent="0.2">
      <c r="B40" s="211" t="s">
        <v>177</v>
      </c>
      <c r="C40" s="313">
        <v>0.25</v>
      </c>
      <c r="D40" s="327">
        <v>0.25</v>
      </c>
      <c r="E40" s="328">
        <v>0.25</v>
      </c>
      <c r="F40" s="328">
        <v>0.25</v>
      </c>
      <c r="G40" s="328">
        <v>0.25</v>
      </c>
      <c r="H40" s="328">
        <v>0.25</v>
      </c>
      <c r="I40" s="328">
        <v>0.25</v>
      </c>
      <c r="J40" s="328">
        <v>0.25</v>
      </c>
      <c r="K40" s="328">
        <v>0.25</v>
      </c>
      <c r="L40" s="328">
        <v>0.25</v>
      </c>
      <c r="M40" s="328">
        <v>0.25</v>
      </c>
      <c r="N40" s="328">
        <v>0.25</v>
      </c>
      <c r="O40" s="328">
        <v>0.25</v>
      </c>
      <c r="P40" s="328">
        <v>0.25</v>
      </c>
      <c r="Q40" s="328">
        <v>0.25</v>
      </c>
      <c r="R40" s="328">
        <v>0.25</v>
      </c>
      <c r="S40" s="328">
        <v>0.25</v>
      </c>
      <c r="T40" s="328">
        <v>0.25</v>
      </c>
      <c r="U40" s="328">
        <v>0.25</v>
      </c>
      <c r="V40" s="328">
        <v>0.25</v>
      </c>
      <c r="W40" s="327">
        <v>0.25</v>
      </c>
      <c r="X40" s="327">
        <v>0.25</v>
      </c>
      <c r="Y40" s="327">
        <v>0.25</v>
      </c>
      <c r="Z40" s="327">
        <v>0.25</v>
      </c>
      <c r="AA40" s="327">
        <v>0.25</v>
      </c>
      <c r="AB40" s="327">
        <v>0.25</v>
      </c>
      <c r="AC40" s="327">
        <v>0.25</v>
      </c>
      <c r="AD40" s="327">
        <v>0.25</v>
      </c>
      <c r="AE40" s="327">
        <v>0.25</v>
      </c>
      <c r="AF40" s="327">
        <v>0.25</v>
      </c>
      <c r="AG40" s="329">
        <v>0.25</v>
      </c>
    </row>
    <row r="41" spans="2:33" s="72" customFormat="1" x14ac:dyDescent="0.2">
      <c r="B41" s="157"/>
      <c r="C41" s="292"/>
      <c r="D41" s="293"/>
      <c r="E41" s="294"/>
      <c r="F41" s="294"/>
      <c r="G41" s="294"/>
      <c r="H41" s="294"/>
      <c r="I41" s="294"/>
      <c r="J41" s="294"/>
      <c r="K41" s="294"/>
      <c r="L41" s="294"/>
      <c r="M41" s="294"/>
      <c r="N41" s="294"/>
      <c r="O41" s="294"/>
      <c r="P41" s="294"/>
      <c r="Q41" s="294"/>
      <c r="R41" s="294"/>
      <c r="S41" s="294"/>
      <c r="T41" s="294"/>
      <c r="U41" s="294"/>
      <c r="V41" s="294"/>
      <c r="W41" s="293"/>
      <c r="X41" s="293"/>
      <c r="Y41" s="293"/>
      <c r="Z41" s="293"/>
      <c r="AA41" s="293"/>
      <c r="AB41" s="293"/>
      <c r="AC41" s="293"/>
      <c r="AD41" s="293"/>
      <c r="AE41" s="293"/>
      <c r="AF41" s="293"/>
      <c r="AG41" s="295"/>
    </row>
    <row r="42" spans="2:33" s="72" customFormat="1" ht="14.25" x14ac:dyDescent="0.25">
      <c r="B42" s="103" t="s">
        <v>146</v>
      </c>
      <c r="C42" s="296"/>
      <c r="D42" s="289"/>
      <c r="E42" s="290"/>
      <c r="F42" s="290"/>
      <c r="G42" s="290"/>
      <c r="H42" s="290"/>
      <c r="I42" s="290"/>
      <c r="J42" s="290"/>
      <c r="K42" s="290"/>
      <c r="L42" s="290"/>
      <c r="M42" s="290"/>
      <c r="N42" s="290"/>
      <c r="O42" s="290"/>
      <c r="P42" s="290"/>
      <c r="Q42" s="290"/>
      <c r="R42" s="290"/>
      <c r="S42" s="290"/>
      <c r="T42" s="290"/>
      <c r="U42" s="290"/>
      <c r="V42" s="290"/>
      <c r="W42" s="289"/>
      <c r="X42" s="289"/>
      <c r="Y42" s="289"/>
      <c r="Z42" s="289"/>
      <c r="AA42" s="289"/>
      <c r="AB42" s="289"/>
      <c r="AC42" s="289"/>
      <c r="AD42" s="289"/>
      <c r="AE42" s="289"/>
      <c r="AF42" s="289"/>
      <c r="AG42" s="291"/>
    </row>
    <row r="43" spans="2:33" s="72" customFormat="1" ht="15.75" x14ac:dyDescent="0.3">
      <c r="B43" s="99" t="s">
        <v>53</v>
      </c>
      <c r="C43" s="296">
        <f>(C22*C25+C28*C31+C34*C37)*(1+C40)</f>
        <v>5.2210885000000387E-2</v>
      </c>
      <c r="D43" s="289">
        <f t="shared" ref="D43:AF43" si="2">(D22*D25+D28*D31+D34*D37)*(1+D40)</f>
        <v>5.0997771500000469E-2</v>
      </c>
      <c r="E43" s="290">
        <f t="shared" si="2"/>
        <v>4.9784658000000086E-2</v>
      </c>
      <c r="F43" s="290">
        <f t="shared" si="2"/>
        <v>4.8571544500000174E-2</v>
      </c>
      <c r="G43" s="290">
        <f t="shared" si="2"/>
        <v>4.7358431000000256E-2</v>
      </c>
      <c r="H43" s="290">
        <f t="shared" si="2"/>
        <v>4.6145317500000269E-2</v>
      </c>
      <c r="I43" s="290">
        <f t="shared" si="2"/>
        <v>4.4932204000000357E-2</v>
      </c>
      <c r="J43" s="290">
        <f t="shared" si="2"/>
        <v>4.3719090499999981E-2</v>
      </c>
      <c r="K43" s="290">
        <f t="shared" si="2"/>
        <v>4.250597700000007E-2</v>
      </c>
      <c r="L43" s="290">
        <f t="shared" si="2"/>
        <v>4.1292863500000179E-2</v>
      </c>
      <c r="M43" s="290">
        <f t="shared" si="2"/>
        <v>4.0079750000000261E-2</v>
      </c>
      <c r="N43" s="290">
        <f t="shared" si="2"/>
        <v>3.8866636500000357E-2</v>
      </c>
      <c r="O43" s="290">
        <f t="shared" si="2"/>
        <v>3.7653523000000473E-2</v>
      </c>
      <c r="P43" s="290">
        <f t="shared" si="2"/>
        <v>3.6440409500000062E-2</v>
      </c>
      <c r="Q43" s="290">
        <f t="shared" si="2"/>
        <v>3.5227296000000172E-2</v>
      </c>
      <c r="R43" s="290">
        <f t="shared" si="2"/>
        <v>3.401418250000026E-2</v>
      </c>
      <c r="S43" s="290">
        <f t="shared" si="2"/>
        <v>3.280106900000037E-2</v>
      </c>
      <c r="T43" s="290">
        <f t="shared" si="2"/>
        <v>3.1587955500000459E-2</v>
      </c>
      <c r="U43" s="290">
        <f t="shared" si="2"/>
        <v>3.0374842000000079E-2</v>
      </c>
      <c r="V43" s="290">
        <f t="shared" si="2"/>
        <v>2.9161728500000164E-2</v>
      </c>
      <c r="W43" s="289">
        <f t="shared" si="2"/>
        <v>2.7948615000000156E-2</v>
      </c>
      <c r="X43" s="289">
        <f t="shared" si="2"/>
        <v>2.773769999999999E-2</v>
      </c>
      <c r="Y43" s="289">
        <f t="shared" si="2"/>
        <v>2.7424950000000052E-2</v>
      </c>
      <c r="Z43" s="289">
        <f t="shared" si="2"/>
        <v>2.7112199999999999E-2</v>
      </c>
      <c r="AA43" s="289">
        <f t="shared" si="2"/>
        <v>2.6799449999999933E-2</v>
      </c>
      <c r="AB43" s="289">
        <f t="shared" si="2"/>
        <v>2.6486700000000002E-2</v>
      </c>
      <c r="AC43" s="289">
        <f t="shared" si="2"/>
        <v>2.6173949999999994E-2</v>
      </c>
      <c r="AD43" s="289">
        <f t="shared" si="2"/>
        <v>2.586120000000006E-2</v>
      </c>
      <c r="AE43" s="289">
        <f t="shared" si="2"/>
        <v>2.5548449999999997E-2</v>
      </c>
      <c r="AF43" s="289">
        <f t="shared" si="2"/>
        <v>2.5235699999999937E-2</v>
      </c>
      <c r="AG43" s="291">
        <f>(AG22*AG25+AG28*AG31+AG34*AG37)*(1+AG40)</f>
        <v>2.4922950000000003E-2</v>
      </c>
    </row>
    <row r="44" spans="2:33" s="72" customFormat="1" x14ac:dyDescent="0.2">
      <c r="B44" s="157"/>
      <c r="C44" s="292"/>
      <c r="D44" s="293"/>
      <c r="E44" s="294"/>
      <c r="F44" s="294"/>
      <c r="G44" s="294"/>
      <c r="H44" s="294"/>
      <c r="I44" s="294"/>
      <c r="J44" s="294"/>
      <c r="K44" s="294"/>
      <c r="L44" s="294"/>
      <c r="M44" s="294"/>
      <c r="N44" s="294"/>
      <c r="O44" s="294"/>
      <c r="P44" s="294"/>
      <c r="Q44" s="294"/>
      <c r="R44" s="294"/>
      <c r="S44" s="294"/>
      <c r="T44" s="294"/>
      <c r="U44" s="294"/>
      <c r="V44" s="294"/>
      <c r="W44" s="293"/>
      <c r="X44" s="293"/>
      <c r="Y44" s="293"/>
      <c r="Z44" s="293"/>
      <c r="AA44" s="293"/>
      <c r="AB44" s="293"/>
      <c r="AC44" s="293"/>
      <c r="AD44" s="293"/>
      <c r="AE44" s="293"/>
      <c r="AF44" s="293"/>
      <c r="AG44" s="295"/>
    </row>
    <row r="45" spans="2:33" ht="14.25" x14ac:dyDescent="0.25">
      <c r="B45" s="103" t="s">
        <v>76</v>
      </c>
      <c r="C45" s="17"/>
      <c r="D45" s="11"/>
      <c r="E45" s="297"/>
      <c r="F45" s="297"/>
      <c r="G45" s="297"/>
      <c r="H45" s="298"/>
      <c r="I45" s="297"/>
      <c r="J45" s="297"/>
      <c r="K45" s="297"/>
      <c r="L45" s="297"/>
      <c r="M45" s="297"/>
      <c r="N45" s="297"/>
      <c r="O45" s="297"/>
      <c r="P45" s="297"/>
      <c r="Q45" s="297"/>
      <c r="R45" s="297"/>
      <c r="S45" s="297"/>
      <c r="T45" s="297"/>
      <c r="U45" s="297"/>
      <c r="V45" s="297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2"/>
    </row>
    <row r="46" spans="2:33" ht="15.75" x14ac:dyDescent="0.3">
      <c r="B46" s="99" t="s">
        <v>53</v>
      </c>
      <c r="C46" s="17">
        <v>5.0000000000000001E-3</v>
      </c>
      <c r="D46" s="11">
        <v>5.0000000000000001E-3</v>
      </c>
      <c r="E46" s="11">
        <v>5.0000000000000001E-3</v>
      </c>
      <c r="F46" s="11">
        <v>5.0000000000000001E-3</v>
      </c>
      <c r="G46" s="11">
        <v>5.0000000000000001E-3</v>
      </c>
      <c r="H46" s="11">
        <v>5.0000000000000001E-3</v>
      </c>
      <c r="I46" s="11">
        <v>5.0000000000000001E-3</v>
      </c>
      <c r="J46" s="11">
        <v>5.0000000000000001E-3</v>
      </c>
      <c r="K46" s="11">
        <v>5.0000000000000001E-3</v>
      </c>
      <c r="L46" s="11">
        <v>5.0000000000000001E-3</v>
      </c>
      <c r="M46" s="11">
        <v>5.0000000000000001E-3</v>
      </c>
      <c r="N46" s="11">
        <v>5.0000000000000001E-3</v>
      </c>
      <c r="O46" s="11">
        <v>5.0000000000000001E-3</v>
      </c>
      <c r="P46" s="11">
        <v>5.0000000000000001E-3</v>
      </c>
      <c r="Q46" s="11">
        <v>5.0000000000000001E-3</v>
      </c>
      <c r="R46" s="11">
        <v>5.0000000000000001E-3</v>
      </c>
      <c r="S46" s="11">
        <v>5.0000000000000001E-3</v>
      </c>
      <c r="T46" s="11">
        <v>5.0000000000000001E-3</v>
      </c>
      <c r="U46" s="11">
        <v>5.0000000000000001E-3</v>
      </c>
      <c r="V46" s="11">
        <v>5.0000000000000001E-3</v>
      </c>
      <c r="W46" s="11">
        <v>5.0000000000000001E-3</v>
      </c>
      <c r="X46" s="11">
        <v>5.0000000000000001E-3</v>
      </c>
      <c r="Y46" s="11">
        <v>5.0000000000000001E-3</v>
      </c>
      <c r="Z46" s="11">
        <v>5.0000000000000001E-3</v>
      </c>
      <c r="AA46" s="11">
        <v>5.0000000000000001E-3</v>
      </c>
      <c r="AB46" s="11">
        <v>5.0000000000000001E-3</v>
      </c>
      <c r="AC46" s="11">
        <v>5.0000000000000001E-3</v>
      </c>
      <c r="AD46" s="11">
        <v>5.0000000000000001E-3</v>
      </c>
      <c r="AE46" s="11">
        <v>5.0000000000000001E-3</v>
      </c>
      <c r="AF46" s="11">
        <v>5.0000000000000001E-3</v>
      </c>
      <c r="AG46" s="112">
        <v>5.0000000000000001E-3</v>
      </c>
    </row>
    <row r="47" spans="2:33" ht="13.5" thickBot="1" x14ac:dyDescent="0.25">
      <c r="B47" s="105" t="s">
        <v>16</v>
      </c>
      <c r="C47" s="106"/>
      <c r="D47" s="107"/>
      <c r="E47" s="107"/>
      <c r="F47" s="107"/>
      <c r="G47" s="107"/>
      <c r="H47" s="108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  <c r="AA47" s="107"/>
      <c r="AB47" s="107"/>
      <c r="AC47" s="107"/>
      <c r="AD47" s="107"/>
      <c r="AE47" s="107"/>
      <c r="AF47" s="107"/>
      <c r="AG47" s="109"/>
    </row>
    <row r="48" spans="2:33" ht="19.5" customHeight="1" x14ac:dyDescent="0.2">
      <c r="B48" s="168" t="s">
        <v>122</v>
      </c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  <c r="V48" s="169"/>
      <c r="W48" s="169"/>
      <c r="X48" s="169"/>
      <c r="Y48" s="169"/>
      <c r="Z48" s="169"/>
      <c r="AA48" s="169"/>
      <c r="AB48" s="169"/>
      <c r="AC48" s="169"/>
      <c r="AD48" s="169"/>
      <c r="AE48" s="169"/>
      <c r="AF48" s="169"/>
      <c r="AG48" s="170"/>
    </row>
    <row r="49" spans="2:33" s="72" customFormat="1" x14ac:dyDescent="0.2">
      <c r="B49" s="94" t="s">
        <v>178</v>
      </c>
      <c r="C49" s="92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5"/>
    </row>
    <row r="50" spans="2:33" s="72" customFormat="1" ht="15.75" x14ac:dyDescent="0.3">
      <c r="B50" s="96" t="s">
        <v>7</v>
      </c>
      <c r="C50" s="127">
        <f t="shared" ref="C50:AF50" si="3">C14*C43*44/28</f>
        <v>3461101.4100643359</v>
      </c>
      <c r="D50" s="128">
        <f t="shared" si="3"/>
        <v>3432916.5860991138</v>
      </c>
      <c r="E50" s="128">
        <f t="shared" si="3"/>
        <v>3373205.5682288669</v>
      </c>
      <c r="F50" s="128">
        <f t="shared" si="3"/>
        <v>3303939.7107958281</v>
      </c>
      <c r="G50" s="128">
        <f t="shared" si="3"/>
        <v>3252029.6275851275</v>
      </c>
      <c r="H50" s="128">
        <f t="shared" si="3"/>
        <v>3186092.8935384112</v>
      </c>
      <c r="I50" s="128">
        <f t="shared" si="3"/>
        <v>3096893.4609362162</v>
      </c>
      <c r="J50" s="128">
        <f t="shared" si="3"/>
        <v>3007335.7166008092</v>
      </c>
      <c r="K50" s="128">
        <f t="shared" si="3"/>
        <v>2922333.2841754491</v>
      </c>
      <c r="L50" s="128">
        <f t="shared" si="3"/>
        <v>2834531.6323757912</v>
      </c>
      <c r="M50" s="128">
        <f t="shared" si="3"/>
        <v>2749384.6000848324</v>
      </c>
      <c r="N50" s="128">
        <f t="shared" si="3"/>
        <v>2679341.7332071746</v>
      </c>
      <c r="O50" s="128">
        <f t="shared" si="3"/>
        <v>2601653.4981507785</v>
      </c>
      <c r="P50" s="128">
        <f t="shared" si="3"/>
        <v>2524581.322419764</v>
      </c>
      <c r="Q50" s="128">
        <f t="shared" si="3"/>
        <v>2442428.9877839298</v>
      </c>
      <c r="R50" s="128">
        <f t="shared" si="3"/>
        <v>2356769.3773259786</v>
      </c>
      <c r="S50" s="128">
        <f t="shared" si="3"/>
        <v>2271600.7566842255</v>
      </c>
      <c r="T50" s="128">
        <f t="shared" si="3"/>
        <v>2187354.3423693371</v>
      </c>
      <c r="U50" s="128">
        <f t="shared" si="3"/>
        <v>2111298.0205159928</v>
      </c>
      <c r="V50" s="128">
        <f t="shared" si="3"/>
        <v>2033646.4137577077</v>
      </c>
      <c r="W50" s="128">
        <f t="shared" si="3"/>
        <v>1949799.346904431</v>
      </c>
      <c r="X50" s="128">
        <f t="shared" si="3"/>
        <v>1926990.880193</v>
      </c>
      <c r="Y50" s="128">
        <f t="shared" si="3"/>
        <v>1907299.0261370789</v>
      </c>
      <c r="Z50" s="128">
        <f t="shared" si="3"/>
        <v>1888807.8885878618</v>
      </c>
      <c r="AA50" s="128">
        <f t="shared" si="3"/>
        <v>1871655.5649974614</v>
      </c>
      <c r="AB50" s="128">
        <f t="shared" si="3"/>
        <v>1852384.1652817507</v>
      </c>
      <c r="AC50" s="128">
        <f t="shared" si="3"/>
        <v>1832205.2337408962</v>
      </c>
      <c r="AD50" s="128">
        <f t="shared" si="3"/>
        <v>1809021.8198688515</v>
      </c>
      <c r="AE50" s="128">
        <f t="shared" si="3"/>
        <v>1781972.265450361</v>
      </c>
      <c r="AF50" s="128">
        <f t="shared" si="3"/>
        <v>1754581.7244081632</v>
      </c>
      <c r="AG50" s="324">
        <f>AG14*AG43*44/28</f>
        <v>1674477.6938363852</v>
      </c>
    </row>
    <row r="51" spans="2:33" ht="14.25" x14ac:dyDescent="0.25">
      <c r="B51" s="97" t="s">
        <v>62</v>
      </c>
      <c r="C51" s="89"/>
      <c r="D51" s="90"/>
      <c r="E51" s="90"/>
      <c r="F51" s="90"/>
      <c r="G51" s="90"/>
      <c r="H51" s="129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8"/>
    </row>
    <row r="52" spans="2:33" ht="16.5" thickBot="1" x14ac:dyDescent="0.35">
      <c r="B52" s="102" t="s">
        <v>7</v>
      </c>
      <c r="C52" s="130">
        <f t="shared" ref="C52:AF52" si="4">C19*C46*44/28</f>
        <v>295888.99218663166</v>
      </c>
      <c r="D52" s="131">
        <f t="shared" si="4"/>
        <v>289599.36202087312</v>
      </c>
      <c r="E52" s="131">
        <f t="shared" si="4"/>
        <v>280563.73545685882</v>
      </c>
      <c r="F52" s="131">
        <f t="shared" si="4"/>
        <v>270690.64855712798</v>
      </c>
      <c r="G52" s="131">
        <f t="shared" si="4"/>
        <v>262182.97479244444</v>
      </c>
      <c r="H52" s="132">
        <f t="shared" si="4"/>
        <v>252479.46746593635</v>
      </c>
      <c r="I52" s="131">
        <f t="shared" si="4"/>
        <v>240915.8785835749</v>
      </c>
      <c r="J52" s="131">
        <f t="shared" si="4"/>
        <v>238099.3399826551</v>
      </c>
      <c r="K52" s="131">
        <f t="shared" si="4"/>
        <v>233472.59664362596</v>
      </c>
      <c r="L52" s="131">
        <f t="shared" si="4"/>
        <v>228617.71375346961</v>
      </c>
      <c r="M52" s="131">
        <f t="shared" si="4"/>
        <v>223971.9738590421</v>
      </c>
      <c r="N52" s="131">
        <f t="shared" si="4"/>
        <v>220566.40907875582</v>
      </c>
      <c r="O52" s="131">
        <f t="shared" si="4"/>
        <v>216548.56072881442</v>
      </c>
      <c r="P52" s="131">
        <f t="shared" si="4"/>
        <v>212594.16984113763</v>
      </c>
      <c r="Q52" s="131">
        <f t="shared" si="4"/>
        <v>208220.74698929206</v>
      </c>
      <c r="R52" s="131">
        <f t="shared" si="4"/>
        <v>203548.63207442683</v>
      </c>
      <c r="S52" s="131">
        <f t="shared" si="4"/>
        <v>198915.79464685541</v>
      </c>
      <c r="T52" s="131">
        <f t="shared" si="4"/>
        <v>194362.02442659874</v>
      </c>
      <c r="U52" s="131">
        <f t="shared" si="4"/>
        <v>190546.76700941278</v>
      </c>
      <c r="V52" s="131">
        <f t="shared" si="4"/>
        <v>186609.12390039951</v>
      </c>
      <c r="W52" s="131">
        <f t="shared" si="4"/>
        <v>182114.70246832166</v>
      </c>
      <c r="X52" s="131">
        <f t="shared" si="4"/>
        <v>176466.28252115499</v>
      </c>
      <c r="Y52" s="131">
        <f t="shared" si="4"/>
        <v>174986.39835784602</v>
      </c>
      <c r="Z52" s="131">
        <f t="shared" si="4"/>
        <v>173617.58925452246</v>
      </c>
      <c r="AA52" s="131">
        <f t="shared" si="4"/>
        <v>172373.23774155235</v>
      </c>
      <c r="AB52" s="131">
        <f t="shared" si="4"/>
        <v>170935.0261668454</v>
      </c>
      <c r="AC52" s="131">
        <f t="shared" si="4"/>
        <v>169413.85684966791</v>
      </c>
      <c r="AD52" s="131">
        <f t="shared" si="4"/>
        <v>167614.95267486147</v>
      </c>
      <c r="AE52" s="131">
        <f t="shared" si="4"/>
        <v>165456.57245962211</v>
      </c>
      <c r="AF52" s="131">
        <f t="shared" si="4"/>
        <v>163264.39367396245</v>
      </c>
      <c r="AG52" s="133">
        <f>AG19*AG46*44/28</f>
        <v>156154.10920515103</v>
      </c>
    </row>
    <row r="53" spans="2:33" x14ac:dyDescent="0.2">
      <c r="B53" s="134"/>
      <c r="C53" s="135"/>
      <c r="D53" s="136"/>
      <c r="E53" s="136"/>
      <c r="F53" s="136"/>
      <c r="G53" s="136"/>
      <c r="H53" s="137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W53" s="136"/>
      <c r="X53" s="136"/>
      <c r="Y53" s="136"/>
      <c r="Z53" s="136"/>
      <c r="AA53" s="136"/>
      <c r="AB53" s="136"/>
      <c r="AC53" s="136"/>
      <c r="AD53" s="136"/>
      <c r="AE53" s="136"/>
      <c r="AF53" s="136"/>
      <c r="AG53" s="138"/>
    </row>
    <row r="54" spans="2:33" ht="14.25" x14ac:dyDescent="0.25">
      <c r="B54" s="103" t="s">
        <v>127</v>
      </c>
      <c r="C54" s="3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104"/>
    </row>
    <row r="55" spans="2:33" ht="15.75" x14ac:dyDescent="0.3">
      <c r="B55" s="99" t="s">
        <v>7</v>
      </c>
      <c r="C55" s="19">
        <f>C50+C52</f>
        <v>3756990.4022509675</v>
      </c>
      <c r="D55" s="13">
        <f>D50+D52</f>
        <v>3722515.9481199868</v>
      </c>
      <c r="E55" s="13">
        <f t="shared" ref="E55:AF55" si="5">E50+E52</f>
        <v>3653769.3036857257</v>
      </c>
      <c r="F55" s="13">
        <f t="shared" si="5"/>
        <v>3574630.3593529561</v>
      </c>
      <c r="G55" s="13">
        <f t="shared" si="5"/>
        <v>3514212.6023775721</v>
      </c>
      <c r="H55" s="13">
        <f t="shared" si="5"/>
        <v>3438572.3610043474</v>
      </c>
      <c r="I55" s="13">
        <f t="shared" si="5"/>
        <v>3337809.3395197913</v>
      </c>
      <c r="J55" s="13">
        <f t="shared" si="5"/>
        <v>3245435.0565834641</v>
      </c>
      <c r="K55" s="13">
        <f t="shared" si="5"/>
        <v>3155805.8808190748</v>
      </c>
      <c r="L55" s="13">
        <f t="shared" si="5"/>
        <v>3063149.346129261</v>
      </c>
      <c r="M55" s="13">
        <f t="shared" si="5"/>
        <v>2973356.5739438743</v>
      </c>
      <c r="N55" s="13">
        <f t="shared" si="5"/>
        <v>2899908.1422859305</v>
      </c>
      <c r="O55" s="13">
        <f t="shared" si="5"/>
        <v>2818202.0588795929</v>
      </c>
      <c r="P55" s="13">
        <f t="shared" si="5"/>
        <v>2737175.4922609017</v>
      </c>
      <c r="Q55" s="13">
        <f t="shared" si="5"/>
        <v>2650649.7347732219</v>
      </c>
      <c r="R55" s="13">
        <f t="shared" si="5"/>
        <v>2560318.0094004055</v>
      </c>
      <c r="S55" s="13">
        <f t="shared" si="5"/>
        <v>2470516.551331081</v>
      </c>
      <c r="T55" s="13">
        <f t="shared" si="5"/>
        <v>2381716.3667959357</v>
      </c>
      <c r="U55" s="13">
        <f t="shared" si="5"/>
        <v>2301844.7875254056</v>
      </c>
      <c r="V55" s="13">
        <f t="shared" si="5"/>
        <v>2220255.537658107</v>
      </c>
      <c r="W55" s="13">
        <f t="shared" si="5"/>
        <v>2131914.0493727527</v>
      </c>
      <c r="X55" s="13">
        <f t="shared" si="5"/>
        <v>2103457.1627141549</v>
      </c>
      <c r="Y55" s="13">
        <f t="shared" si="5"/>
        <v>2082285.424494925</v>
      </c>
      <c r="Z55" s="13">
        <f t="shared" si="5"/>
        <v>2062425.4778423843</v>
      </c>
      <c r="AA55" s="13">
        <f t="shared" si="5"/>
        <v>2044028.8027390137</v>
      </c>
      <c r="AB55" s="13">
        <f t="shared" si="5"/>
        <v>2023319.1914485961</v>
      </c>
      <c r="AC55" s="13">
        <f t="shared" si="5"/>
        <v>2001619.0905905641</v>
      </c>
      <c r="AD55" s="13">
        <f t="shared" si="5"/>
        <v>1976636.772543713</v>
      </c>
      <c r="AE55" s="13">
        <f t="shared" si="5"/>
        <v>1947428.837909983</v>
      </c>
      <c r="AF55" s="13">
        <f t="shared" si="5"/>
        <v>1917846.1180821257</v>
      </c>
      <c r="AG55" s="100">
        <f>AG50+AG52</f>
        <v>1830631.8030415361</v>
      </c>
    </row>
    <row r="56" spans="2:33" ht="13.5" thickBot="1" x14ac:dyDescent="0.25">
      <c r="B56" s="102"/>
      <c r="C56" s="106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9"/>
    </row>
    <row r="57" spans="2:33" x14ac:dyDescent="0.2">
      <c r="B57" s="9"/>
    </row>
    <row r="58" spans="2:33" x14ac:dyDescent="0.2">
      <c r="B58" s="9"/>
      <c r="C58" s="326"/>
      <c r="D58" s="326"/>
      <c r="E58" s="326"/>
      <c r="F58" s="326"/>
      <c r="G58" s="326"/>
      <c r="H58" s="326"/>
      <c r="I58" s="326"/>
      <c r="J58" s="326"/>
      <c r="K58" s="326"/>
      <c r="L58" s="326"/>
      <c r="M58" s="326"/>
      <c r="N58" s="326"/>
      <c r="O58" s="326"/>
      <c r="P58" s="326"/>
      <c r="Q58" s="326"/>
      <c r="R58" s="326"/>
      <c r="S58" s="326"/>
      <c r="T58" s="326"/>
      <c r="U58" s="326"/>
      <c r="V58" s="326"/>
      <c r="W58" s="326"/>
      <c r="X58" s="326"/>
      <c r="Y58" s="326"/>
      <c r="Z58" s="326"/>
      <c r="AA58" s="326"/>
      <c r="AB58" s="326"/>
      <c r="AC58" s="326"/>
      <c r="AD58" s="326"/>
      <c r="AE58" s="326"/>
      <c r="AF58" s="326"/>
      <c r="AG58" s="326"/>
    </row>
    <row r="59" spans="2:33" x14ac:dyDescent="0.2">
      <c r="B59" s="9"/>
    </row>
    <row r="60" spans="2:33" x14ac:dyDescent="0.2">
      <c r="B60" s="9"/>
    </row>
    <row r="61" spans="2:33" x14ac:dyDescent="0.2">
      <c r="B61" s="9"/>
    </row>
    <row r="62" spans="2:33" x14ac:dyDescent="0.2">
      <c r="B62" s="9"/>
    </row>
    <row r="63" spans="2:33" x14ac:dyDescent="0.2">
      <c r="B63" s="9"/>
    </row>
    <row r="64" spans="2:33" x14ac:dyDescent="0.2">
      <c r="B64" s="9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B1:AF102"/>
  <sheetViews>
    <sheetView zoomScale="80" zoomScaleNormal="80" workbookViewId="0"/>
  </sheetViews>
  <sheetFormatPr defaultColWidth="9.140625" defaultRowHeight="12.75" x14ac:dyDescent="0.2"/>
  <cols>
    <col min="1" max="1" width="4.7109375" style="2" customWidth="1"/>
    <col min="2" max="2" width="41" style="2" bestFit="1" customWidth="1"/>
    <col min="3" max="28" width="10.5703125" style="2" customWidth="1"/>
    <col min="29" max="30" width="11.140625" style="2" bestFit="1" customWidth="1"/>
    <col min="31" max="31" width="10.5703125" style="2" customWidth="1"/>
    <col min="32" max="32" width="11.7109375" style="2" customWidth="1"/>
    <col min="33" max="16384" width="9.140625" style="2"/>
  </cols>
  <sheetData>
    <row r="1" spans="2:32" ht="13.5" thickBot="1" x14ac:dyDescent="0.25"/>
    <row r="2" spans="2:32" ht="23.25" customHeight="1" thickBot="1" x14ac:dyDescent="0.25">
      <c r="B2" s="121" t="s">
        <v>61</v>
      </c>
      <c r="C2" s="122">
        <v>1990</v>
      </c>
      <c r="D2" s="122">
        <v>1991</v>
      </c>
      <c r="E2" s="122">
        <v>1992</v>
      </c>
      <c r="F2" s="122">
        <v>1993</v>
      </c>
      <c r="G2" s="122">
        <v>1994</v>
      </c>
      <c r="H2" s="122">
        <v>1995</v>
      </c>
      <c r="I2" s="122">
        <v>1996</v>
      </c>
      <c r="J2" s="122">
        <v>1997</v>
      </c>
      <c r="K2" s="122">
        <v>1998</v>
      </c>
      <c r="L2" s="122">
        <v>1999</v>
      </c>
      <c r="M2" s="122">
        <v>2000</v>
      </c>
      <c r="N2" s="122">
        <v>2001</v>
      </c>
      <c r="O2" s="122">
        <v>2002</v>
      </c>
      <c r="P2" s="122">
        <v>2003</v>
      </c>
      <c r="Q2" s="122">
        <v>2004</v>
      </c>
      <c r="R2" s="122">
        <v>2005</v>
      </c>
      <c r="S2" s="122">
        <v>2006</v>
      </c>
      <c r="T2" s="122">
        <v>2007</v>
      </c>
      <c r="U2" s="122">
        <v>2008</v>
      </c>
      <c r="V2" s="122">
        <v>2009</v>
      </c>
      <c r="W2" s="122">
        <v>2010</v>
      </c>
      <c r="X2" s="122">
        <v>2011</v>
      </c>
      <c r="Y2" s="122">
        <v>2012</v>
      </c>
      <c r="Z2" s="122">
        <v>2013</v>
      </c>
      <c r="AA2" s="122">
        <v>2014</v>
      </c>
      <c r="AB2" s="122">
        <v>2015</v>
      </c>
      <c r="AC2" s="122">
        <v>2016</v>
      </c>
      <c r="AD2" s="122">
        <v>2017</v>
      </c>
      <c r="AE2" s="122">
        <v>2018</v>
      </c>
      <c r="AF2" s="123">
        <v>2019</v>
      </c>
    </row>
    <row r="3" spans="2:32" ht="19.5" customHeight="1" x14ac:dyDescent="0.2">
      <c r="B3" s="168" t="s">
        <v>75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70"/>
    </row>
    <row r="4" spans="2:32" x14ac:dyDescent="0.2">
      <c r="B4" s="103" t="s">
        <v>8</v>
      </c>
      <c r="C4" s="3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104"/>
    </row>
    <row r="5" spans="2:32" x14ac:dyDescent="0.2">
      <c r="B5" s="99" t="s">
        <v>9</v>
      </c>
      <c r="C5" s="41">
        <v>6796000</v>
      </c>
      <c r="D5" s="42">
        <v>6880000</v>
      </c>
      <c r="E5" s="42">
        <v>6943000</v>
      </c>
      <c r="F5" s="42">
        <v>6989000</v>
      </c>
      <c r="G5" s="42">
        <v>7037000</v>
      </c>
      <c r="H5" s="42">
        <v>7081000</v>
      </c>
      <c r="I5" s="42">
        <v>7105000</v>
      </c>
      <c r="J5" s="42">
        <v>7113000</v>
      </c>
      <c r="K5" s="42">
        <v>7132000</v>
      </c>
      <c r="L5" s="42">
        <v>7167000</v>
      </c>
      <c r="M5" s="42">
        <v>7209000</v>
      </c>
      <c r="N5" s="42">
        <v>7285000</v>
      </c>
      <c r="O5" s="42">
        <v>7343000</v>
      </c>
      <c r="P5" s="42">
        <v>7405000</v>
      </c>
      <c r="Q5" s="42">
        <v>7454000</v>
      </c>
      <c r="R5" s="42">
        <v>7501000</v>
      </c>
      <c r="S5" s="42">
        <v>7558000</v>
      </c>
      <c r="T5" s="42">
        <v>7619000</v>
      </c>
      <c r="U5" s="42">
        <v>7711000</v>
      </c>
      <c r="V5" s="42">
        <v>7801000</v>
      </c>
      <c r="W5" s="42">
        <v>7878000</v>
      </c>
      <c r="X5" s="42">
        <v>7912000</v>
      </c>
      <c r="Y5" s="42">
        <v>7997000</v>
      </c>
      <c r="Z5" s="42">
        <v>8089000</v>
      </c>
      <c r="AA5" s="42">
        <v>8189000</v>
      </c>
      <c r="AB5" s="42">
        <v>8282000</v>
      </c>
      <c r="AC5" s="42">
        <v>8373000</v>
      </c>
      <c r="AD5" s="42">
        <v>8452000</v>
      </c>
      <c r="AE5" s="42">
        <v>8514000</v>
      </c>
      <c r="AF5" s="110">
        <v>8575000</v>
      </c>
    </row>
    <row r="6" spans="2:32" x14ac:dyDescent="0.2">
      <c r="B6" s="115" t="s">
        <v>156</v>
      </c>
      <c r="C6" s="3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104"/>
    </row>
    <row r="7" spans="2:32" x14ac:dyDescent="0.2">
      <c r="B7" s="97" t="s">
        <v>31</v>
      </c>
      <c r="C7" s="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101"/>
    </row>
    <row r="8" spans="2:32" x14ac:dyDescent="0.2">
      <c r="B8" s="99" t="s">
        <v>32</v>
      </c>
      <c r="C8" s="38">
        <v>60</v>
      </c>
      <c r="D8" s="29">
        <v>60</v>
      </c>
      <c r="E8" s="29">
        <v>60</v>
      </c>
      <c r="F8" s="29">
        <v>60</v>
      </c>
      <c r="G8" s="29">
        <v>60</v>
      </c>
      <c r="H8" s="29">
        <v>60</v>
      </c>
      <c r="I8" s="29">
        <v>60</v>
      </c>
      <c r="J8" s="29">
        <v>60</v>
      </c>
      <c r="K8" s="29">
        <v>60</v>
      </c>
      <c r="L8" s="29">
        <v>60</v>
      </c>
      <c r="M8" s="29">
        <v>60</v>
      </c>
      <c r="N8" s="29">
        <v>60</v>
      </c>
      <c r="O8" s="29">
        <v>60</v>
      </c>
      <c r="P8" s="29">
        <v>60</v>
      </c>
      <c r="Q8" s="29">
        <v>60</v>
      </c>
      <c r="R8" s="29">
        <v>60</v>
      </c>
      <c r="S8" s="29">
        <v>60</v>
      </c>
      <c r="T8" s="29">
        <v>60</v>
      </c>
      <c r="U8" s="29">
        <v>60</v>
      </c>
      <c r="V8" s="29">
        <v>60</v>
      </c>
      <c r="W8" s="29">
        <v>60</v>
      </c>
      <c r="X8" s="29">
        <v>60</v>
      </c>
      <c r="Y8" s="29">
        <v>60</v>
      </c>
      <c r="Z8" s="29">
        <v>60</v>
      </c>
      <c r="AA8" s="29">
        <v>60</v>
      </c>
      <c r="AB8" s="29">
        <v>60</v>
      </c>
      <c r="AC8" s="29">
        <v>60</v>
      </c>
      <c r="AD8" s="29">
        <v>60</v>
      </c>
      <c r="AE8" s="29">
        <v>60</v>
      </c>
      <c r="AF8" s="139">
        <v>60</v>
      </c>
    </row>
    <row r="9" spans="2:32" x14ac:dyDescent="0.2">
      <c r="B9" s="115" t="s">
        <v>16</v>
      </c>
      <c r="C9" s="23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5"/>
    </row>
    <row r="10" spans="2:32" x14ac:dyDescent="0.2">
      <c r="B10" s="140" t="s">
        <v>90</v>
      </c>
      <c r="C10" s="18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18"/>
    </row>
    <row r="11" spans="2:32" x14ac:dyDescent="0.2">
      <c r="B11" s="141" t="s">
        <v>15</v>
      </c>
      <c r="C11" s="18">
        <v>1.25</v>
      </c>
      <c r="D11" s="12">
        <v>1.25</v>
      </c>
      <c r="E11" s="12">
        <v>1.25</v>
      </c>
      <c r="F11" s="12">
        <v>1.25</v>
      </c>
      <c r="G11" s="12">
        <v>1.25</v>
      </c>
      <c r="H11" s="12">
        <v>1.25</v>
      </c>
      <c r="I11" s="12">
        <v>1.25</v>
      </c>
      <c r="J11" s="12">
        <v>1.25</v>
      </c>
      <c r="K11" s="12">
        <v>1.25</v>
      </c>
      <c r="L11" s="12">
        <v>1.25</v>
      </c>
      <c r="M11" s="12">
        <v>1.25</v>
      </c>
      <c r="N11" s="12">
        <v>1.25</v>
      </c>
      <c r="O11" s="12">
        <v>1.25</v>
      </c>
      <c r="P11" s="12">
        <v>1.25</v>
      </c>
      <c r="Q11" s="12">
        <v>1.25</v>
      </c>
      <c r="R11" s="12">
        <v>1.25</v>
      </c>
      <c r="S11" s="12">
        <v>1.25</v>
      </c>
      <c r="T11" s="12">
        <v>1.25</v>
      </c>
      <c r="U11" s="12">
        <v>1.25</v>
      </c>
      <c r="V11" s="12">
        <v>1.25</v>
      </c>
      <c r="W11" s="12">
        <v>1.25</v>
      </c>
      <c r="X11" s="12">
        <v>1.25</v>
      </c>
      <c r="Y11" s="12">
        <v>1.25</v>
      </c>
      <c r="Z11" s="12">
        <v>1.25</v>
      </c>
      <c r="AA11" s="12">
        <v>1.25</v>
      </c>
      <c r="AB11" s="12">
        <v>1.25</v>
      </c>
      <c r="AC11" s="12">
        <v>1.25</v>
      </c>
      <c r="AD11" s="12">
        <v>1.25</v>
      </c>
      <c r="AE11" s="12">
        <v>1.25</v>
      </c>
      <c r="AF11" s="118">
        <v>1.25</v>
      </c>
    </row>
    <row r="12" spans="2:32" x14ac:dyDescent="0.2">
      <c r="B12" s="211" t="s">
        <v>16</v>
      </c>
      <c r="C12" s="3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104"/>
    </row>
    <row r="13" spans="2:32" x14ac:dyDescent="0.2">
      <c r="B13" s="97" t="s">
        <v>33</v>
      </c>
      <c r="C13" s="80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117"/>
    </row>
    <row r="14" spans="2:32" x14ac:dyDescent="0.2">
      <c r="B14" s="96" t="s">
        <v>35</v>
      </c>
      <c r="C14" s="235">
        <f>0.001*365*0.001</f>
        <v>3.6499999999999998E-4</v>
      </c>
      <c r="D14" s="236">
        <f t="shared" ref="D14:AF14" si="0">0.001*365*0.001</f>
        <v>3.6499999999999998E-4</v>
      </c>
      <c r="E14" s="236">
        <f t="shared" si="0"/>
        <v>3.6499999999999998E-4</v>
      </c>
      <c r="F14" s="236">
        <f t="shared" si="0"/>
        <v>3.6499999999999998E-4</v>
      </c>
      <c r="G14" s="236">
        <f t="shared" si="0"/>
        <v>3.6499999999999998E-4</v>
      </c>
      <c r="H14" s="236">
        <f t="shared" si="0"/>
        <v>3.6499999999999998E-4</v>
      </c>
      <c r="I14" s="236">
        <f t="shared" si="0"/>
        <v>3.6499999999999998E-4</v>
      </c>
      <c r="J14" s="236">
        <f t="shared" si="0"/>
        <v>3.6499999999999998E-4</v>
      </c>
      <c r="K14" s="236">
        <f t="shared" si="0"/>
        <v>3.6499999999999998E-4</v>
      </c>
      <c r="L14" s="236">
        <f t="shared" si="0"/>
        <v>3.6499999999999998E-4</v>
      </c>
      <c r="M14" s="236">
        <f t="shared" si="0"/>
        <v>3.6499999999999998E-4</v>
      </c>
      <c r="N14" s="236">
        <f t="shared" si="0"/>
        <v>3.6499999999999998E-4</v>
      </c>
      <c r="O14" s="236">
        <f t="shared" si="0"/>
        <v>3.6499999999999998E-4</v>
      </c>
      <c r="P14" s="236">
        <f t="shared" si="0"/>
        <v>3.6499999999999998E-4</v>
      </c>
      <c r="Q14" s="236">
        <f t="shared" si="0"/>
        <v>3.6499999999999998E-4</v>
      </c>
      <c r="R14" s="236">
        <f t="shared" si="0"/>
        <v>3.6499999999999998E-4</v>
      </c>
      <c r="S14" s="236">
        <f t="shared" si="0"/>
        <v>3.6499999999999998E-4</v>
      </c>
      <c r="T14" s="236">
        <f t="shared" si="0"/>
        <v>3.6499999999999998E-4</v>
      </c>
      <c r="U14" s="236">
        <f t="shared" si="0"/>
        <v>3.6499999999999998E-4</v>
      </c>
      <c r="V14" s="236">
        <f t="shared" si="0"/>
        <v>3.6499999999999998E-4</v>
      </c>
      <c r="W14" s="236">
        <f t="shared" si="0"/>
        <v>3.6499999999999998E-4</v>
      </c>
      <c r="X14" s="236">
        <f t="shared" si="0"/>
        <v>3.6499999999999998E-4</v>
      </c>
      <c r="Y14" s="236">
        <f t="shared" si="0"/>
        <v>3.6499999999999998E-4</v>
      </c>
      <c r="Z14" s="236">
        <f t="shared" si="0"/>
        <v>3.6499999999999998E-4</v>
      </c>
      <c r="AA14" s="236">
        <f t="shared" si="0"/>
        <v>3.6499999999999998E-4</v>
      </c>
      <c r="AB14" s="236">
        <f t="shared" si="0"/>
        <v>3.6499999999999998E-4</v>
      </c>
      <c r="AC14" s="236">
        <f t="shared" si="0"/>
        <v>3.6499999999999998E-4</v>
      </c>
      <c r="AD14" s="236">
        <f t="shared" si="0"/>
        <v>3.6499999999999998E-4</v>
      </c>
      <c r="AE14" s="236">
        <f t="shared" si="0"/>
        <v>3.6499999999999998E-4</v>
      </c>
      <c r="AF14" s="237">
        <f t="shared" si="0"/>
        <v>3.6499999999999998E-4</v>
      </c>
    </row>
    <row r="15" spans="2:32" x14ac:dyDescent="0.2">
      <c r="B15" s="103" t="s">
        <v>95</v>
      </c>
      <c r="C15" s="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104"/>
    </row>
    <row r="16" spans="2:32" x14ac:dyDescent="0.2">
      <c r="B16" s="99" t="s">
        <v>34</v>
      </c>
      <c r="C16" s="41">
        <f t="shared" ref="C16:AC16" si="1">C5*C8*C11*C14</f>
        <v>186040.5</v>
      </c>
      <c r="D16" s="42">
        <f t="shared" si="1"/>
        <v>188340</v>
      </c>
      <c r="E16" s="42">
        <f t="shared" si="1"/>
        <v>190064.625</v>
      </c>
      <c r="F16" s="42">
        <f t="shared" si="1"/>
        <v>191323.875</v>
      </c>
      <c r="G16" s="42">
        <f t="shared" si="1"/>
        <v>192637.875</v>
      </c>
      <c r="H16" s="42">
        <f t="shared" si="1"/>
        <v>193842.375</v>
      </c>
      <c r="I16" s="42">
        <f t="shared" si="1"/>
        <v>194499.375</v>
      </c>
      <c r="J16" s="42">
        <f t="shared" si="1"/>
        <v>194718.375</v>
      </c>
      <c r="K16" s="42">
        <f t="shared" si="1"/>
        <v>195238.5</v>
      </c>
      <c r="L16" s="42">
        <f t="shared" si="1"/>
        <v>196196.625</v>
      </c>
      <c r="M16" s="42">
        <f t="shared" si="1"/>
        <v>197346.375</v>
      </c>
      <c r="N16" s="42">
        <f t="shared" si="1"/>
        <v>199426.875</v>
      </c>
      <c r="O16" s="42">
        <f t="shared" si="1"/>
        <v>201014.625</v>
      </c>
      <c r="P16" s="42">
        <f t="shared" si="1"/>
        <v>202711.875</v>
      </c>
      <c r="Q16" s="42">
        <f t="shared" si="1"/>
        <v>204053.25</v>
      </c>
      <c r="R16" s="42">
        <f t="shared" si="1"/>
        <v>205339.875</v>
      </c>
      <c r="S16" s="42">
        <f t="shared" si="1"/>
        <v>206900.25</v>
      </c>
      <c r="T16" s="42">
        <f t="shared" si="1"/>
        <v>208570.125</v>
      </c>
      <c r="U16" s="42">
        <f t="shared" si="1"/>
        <v>211088.625</v>
      </c>
      <c r="V16" s="42">
        <f t="shared" si="1"/>
        <v>213552.375</v>
      </c>
      <c r="W16" s="42">
        <f t="shared" si="1"/>
        <v>215660.25</v>
      </c>
      <c r="X16" s="42">
        <f t="shared" si="1"/>
        <v>216591</v>
      </c>
      <c r="Y16" s="42">
        <f t="shared" si="1"/>
        <v>218917.875</v>
      </c>
      <c r="Z16" s="42">
        <f t="shared" si="1"/>
        <v>221436.375</v>
      </c>
      <c r="AA16" s="42">
        <f t="shared" si="1"/>
        <v>224173.875</v>
      </c>
      <c r="AB16" s="42">
        <f t="shared" si="1"/>
        <v>226719.75</v>
      </c>
      <c r="AC16" s="42">
        <f t="shared" si="1"/>
        <v>229210.875</v>
      </c>
      <c r="AD16" s="42">
        <f t="shared" ref="AD16:AF16" si="2">AD5*AD8*AD11*AD14</f>
        <v>231373.5</v>
      </c>
      <c r="AE16" s="42">
        <f t="shared" si="2"/>
        <v>233070.75</v>
      </c>
      <c r="AF16" s="110">
        <f t="shared" si="2"/>
        <v>234740.625</v>
      </c>
    </row>
    <row r="17" spans="2:32" x14ac:dyDescent="0.2">
      <c r="B17" s="156" t="s">
        <v>11</v>
      </c>
      <c r="C17" s="16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101"/>
    </row>
    <row r="18" spans="2:32" x14ac:dyDescent="0.2">
      <c r="B18" s="141" t="s">
        <v>12</v>
      </c>
      <c r="C18" s="285">
        <v>0.9</v>
      </c>
      <c r="D18" s="286">
        <v>0.91</v>
      </c>
      <c r="E18" s="286">
        <v>0.91500000000000004</v>
      </c>
      <c r="F18" s="286">
        <v>0.92</v>
      </c>
      <c r="G18" s="286">
        <v>0.93</v>
      </c>
      <c r="H18" s="286">
        <v>0.93700000000000006</v>
      </c>
      <c r="I18" s="286">
        <v>0.94</v>
      </c>
      <c r="J18" s="286">
        <v>0.94499999999999995</v>
      </c>
      <c r="K18" s="286">
        <v>0.95</v>
      </c>
      <c r="L18" s="286">
        <v>0.95200000000000007</v>
      </c>
      <c r="M18" s="286">
        <v>0.95400000000000007</v>
      </c>
      <c r="N18" s="286">
        <v>0.95700000000000007</v>
      </c>
      <c r="O18" s="286">
        <v>0.96</v>
      </c>
      <c r="P18" s="286">
        <v>0.96299999999999997</v>
      </c>
      <c r="Q18" s="286">
        <v>0.96599999999999997</v>
      </c>
      <c r="R18" s="286">
        <v>0.96799999999999997</v>
      </c>
      <c r="S18" s="286">
        <v>0.96900000000000008</v>
      </c>
      <c r="T18" s="286">
        <v>0.97</v>
      </c>
      <c r="U18" s="286">
        <v>0.97099999999999997</v>
      </c>
      <c r="V18" s="286">
        <v>0.97199999999999998</v>
      </c>
      <c r="W18" s="286">
        <v>0.97199999999999998</v>
      </c>
      <c r="X18" s="286">
        <v>0.97299999999999998</v>
      </c>
      <c r="Y18" s="286">
        <v>0.97299999999999998</v>
      </c>
      <c r="Z18" s="286">
        <v>0.97299999999999998</v>
      </c>
      <c r="AA18" s="286">
        <v>0.97299999999999998</v>
      </c>
      <c r="AB18" s="286">
        <v>0.97299999999999998</v>
      </c>
      <c r="AC18" s="286">
        <v>0.97299999999999998</v>
      </c>
      <c r="AD18" s="286">
        <v>0.97299999999999998</v>
      </c>
      <c r="AE18" s="286">
        <v>0.97299999999999998</v>
      </c>
      <c r="AF18" s="287">
        <v>0.97299999999999998</v>
      </c>
    </row>
    <row r="19" spans="2:32" x14ac:dyDescent="0.2">
      <c r="B19" s="157" t="s">
        <v>157</v>
      </c>
      <c r="C19" s="23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5"/>
    </row>
    <row r="20" spans="2:32" x14ac:dyDescent="0.2">
      <c r="B20" s="103" t="s">
        <v>96</v>
      </c>
      <c r="C20" s="18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18"/>
    </row>
    <row r="21" spans="2:32" ht="13.5" thickBot="1" x14ac:dyDescent="0.25">
      <c r="B21" s="102" t="s">
        <v>34</v>
      </c>
      <c r="C21" s="130">
        <f t="shared" ref="C21:AC21" si="3">C16*C18</f>
        <v>167436.45000000001</v>
      </c>
      <c r="D21" s="131">
        <f t="shared" si="3"/>
        <v>171389.4</v>
      </c>
      <c r="E21" s="131">
        <f t="shared" si="3"/>
        <v>173909.13187500002</v>
      </c>
      <c r="F21" s="131">
        <f t="shared" si="3"/>
        <v>176017.965</v>
      </c>
      <c r="G21" s="131">
        <f t="shared" si="3"/>
        <v>179153.22375</v>
      </c>
      <c r="H21" s="131">
        <f t="shared" si="3"/>
        <v>181630.305375</v>
      </c>
      <c r="I21" s="131">
        <f t="shared" si="3"/>
        <v>182829.41249999998</v>
      </c>
      <c r="J21" s="131">
        <f t="shared" si="3"/>
        <v>184008.864375</v>
      </c>
      <c r="K21" s="131">
        <f t="shared" si="3"/>
        <v>185476.57499999998</v>
      </c>
      <c r="L21" s="131">
        <f t="shared" si="3"/>
        <v>186779.18700000001</v>
      </c>
      <c r="M21" s="131">
        <f t="shared" si="3"/>
        <v>188268.44175000003</v>
      </c>
      <c r="N21" s="131">
        <f t="shared" si="3"/>
        <v>190851.519375</v>
      </c>
      <c r="O21" s="131">
        <f t="shared" si="3"/>
        <v>192974.03999999998</v>
      </c>
      <c r="P21" s="131">
        <f t="shared" si="3"/>
        <v>195211.53562499999</v>
      </c>
      <c r="Q21" s="131">
        <f t="shared" si="3"/>
        <v>197115.43950000001</v>
      </c>
      <c r="R21" s="131">
        <f t="shared" si="3"/>
        <v>198768.99899999998</v>
      </c>
      <c r="S21" s="131">
        <f t="shared" si="3"/>
        <v>200486.34225000002</v>
      </c>
      <c r="T21" s="131">
        <f t="shared" si="3"/>
        <v>202313.02124999999</v>
      </c>
      <c r="U21" s="131">
        <f t="shared" si="3"/>
        <v>204967.054875</v>
      </c>
      <c r="V21" s="131">
        <f t="shared" si="3"/>
        <v>207572.90849999999</v>
      </c>
      <c r="W21" s="131">
        <f t="shared" si="3"/>
        <v>209621.76300000001</v>
      </c>
      <c r="X21" s="131">
        <f t="shared" si="3"/>
        <v>210743.04300000001</v>
      </c>
      <c r="Y21" s="131">
        <f t="shared" si="3"/>
        <v>213007.09237500001</v>
      </c>
      <c r="Z21" s="131">
        <f t="shared" si="3"/>
        <v>215457.592875</v>
      </c>
      <c r="AA21" s="131">
        <f t="shared" si="3"/>
        <v>218121.180375</v>
      </c>
      <c r="AB21" s="131">
        <f t="shared" si="3"/>
        <v>220598.31675</v>
      </c>
      <c r="AC21" s="131">
        <f t="shared" si="3"/>
        <v>223022.18137499999</v>
      </c>
      <c r="AD21" s="131">
        <f t="shared" ref="AD21:AF21" si="4">AD16*AD18</f>
        <v>225126.4155</v>
      </c>
      <c r="AE21" s="131">
        <f t="shared" si="4"/>
        <v>226777.83974999998</v>
      </c>
      <c r="AF21" s="133">
        <f t="shared" si="4"/>
        <v>228402.62812499999</v>
      </c>
    </row>
    <row r="22" spans="2:32" x14ac:dyDescent="0.2">
      <c r="B22" s="103" t="s">
        <v>67</v>
      </c>
      <c r="C22" s="64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144"/>
    </row>
    <row r="23" spans="2:32" x14ac:dyDescent="0.2">
      <c r="B23" s="145" t="s">
        <v>40</v>
      </c>
      <c r="C23" s="44">
        <v>493.34399999999999</v>
      </c>
      <c r="D23" s="45">
        <v>487.29600000000005</v>
      </c>
      <c r="E23" s="45">
        <v>509.72399999999999</v>
      </c>
      <c r="F23" s="45">
        <v>515.62800000000004</v>
      </c>
      <c r="G23" s="45">
        <v>507.34800000000001</v>
      </c>
      <c r="H23" s="45">
        <v>504.21600000000001</v>
      </c>
      <c r="I23" s="45">
        <v>505.404</v>
      </c>
      <c r="J23" s="45">
        <v>506.05200000000002</v>
      </c>
      <c r="K23" s="45">
        <v>512.53200000000004</v>
      </c>
      <c r="L23" s="45">
        <v>512.49599999999998</v>
      </c>
      <c r="M23" s="45">
        <v>512.67599999999993</v>
      </c>
      <c r="N23" s="45">
        <v>498.56400000000002</v>
      </c>
      <c r="O23" s="45">
        <v>499.35599999999999</v>
      </c>
      <c r="P23" s="45">
        <v>502.88400000000001</v>
      </c>
      <c r="Q23" s="45">
        <v>506.59199999999998</v>
      </c>
      <c r="R23" s="45">
        <v>499.03200000000004</v>
      </c>
      <c r="S23" s="45">
        <v>500.94</v>
      </c>
      <c r="T23" s="45">
        <v>498.41999999999996</v>
      </c>
      <c r="U23" s="45">
        <v>503.28000000000003</v>
      </c>
      <c r="V23" s="45">
        <v>507.38400000000001</v>
      </c>
      <c r="W23" s="45">
        <v>529.41600000000005</v>
      </c>
      <c r="X23" s="45">
        <v>568.548</v>
      </c>
      <c r="Y23" s="45">
        <v>566.46</v>
      </c>
      <c r="Z23" s="45">
        <v>539.87089472295975</v>
      </c>
      <c r="AA23" s="45">
        <v>553.15095439262382</v>
      </c>
      <c r="AB23" s="45">
        <v>529.20107150699664</v>
      </c>
      <c r="AC23" s="45">
        <v>529.38318012498678</v>
      </c>
      <c r="AD23" s="45">
        <v>516.61969378411595</v>
      </c>
      <c r="AE23" s="45">
        <v>463.08557059498264</v>
      </c>
      <c r="AF23" s="213">
        <v>462.49837114654741</v>
      </c>
    </row>
    <row r="24" spans="2:32" x14ac:dyDescent="0.2">
      <c r="B24" s="111" t="s">
        <v>162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213"/>
    </row>
    <row r="25" spans="2:32" x14ac:dyDescent="0.2">
      <c r="B25" s="97" t="s">
        <v>66</v>
      </c>
      <c r="C25" s="16"/>
      <c r="D25" s="7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7"/>
      <c r="X25" s="7"/>
      <c r="Y25" s="7"/>
      <c r="Z25" s="7"/>
      <c r="AA25" s="7"/>
      <c r="AB25" s="7"/>
      <c r="AC25" s="7"/>
      <c r="AD25" s="7"/>
      <c r="AE25" s="7"/>
      <c r="AF25" s="101"/>
    </row>
    <row r="26" spans="2:32" x14ac:dyDescent="0.2">
      <c r="B26" s="145" t="s">
        <v>40</v>
      </c>
      <c r="C26" s="44">
        <v>808.29</v>
      </c>
      <c r="D26" s="45">
        <v>836.85599999999999</v>
      </c>
      <c r="E26" s="45">
        <v>861.44040000000007</v>
      </c>
      <c r="F26" s="45">
        <v>909.36360000000002</v>
      </c>
      <c r="G26" s="45">
        <v>958.08600000000001</v>
      </c>
      <c r="H26" s="45">
        <v>983.66399999999999</v>
      </c>
      <c r="I26" s="45">
        <v>1024.5240000000001</v>
      </c>
      <c r="J26" s="45">
        <v>1078.308</v>
      </c>
      <c r="K26" s="45">
        <v>1147.9679999999998</v>
      </c>
      <c r="L26" s="45">
        <v>1199.4480000000001</v>
      </c>
      <c r="M26" s="46">
        <v>1214.3723400000001</v>
      </c>
      <c r="N26" s="46">
        <v>1336.1635799999999</v>
      </c>
      <c r="O26" s="46">
        <v>1325.66454</v>
      </c>
      <c r="P26" s="46">
        <v>1325.13192</v>
      </c>
      <c r="Q26" s="46">
        <v>1338.8479200000002</v>
      </c>
      <c r="R26" s="46">
        <v>1329.5030400000001</v>
      </c>
      <c r="S26" s="46">
        <v>1368.0148320000003</v>
      </c>
      <c r="T26" s="46">
        <v>1384.78512636</v>
      </c>
      <c r="U26" s="46">
        <v>1393.884</v>
      </c>
      <c r="V26" s="46">
        <v>1390.5720000000001</v>
      </c>
      <c r="W26" s="46">
        <v>1427.2920000000001</v>
      </c>
      <c r="X26" s="46">
        <v>1464.9839999999999</v>
      </c>
      <c r="Y26" s="46">
        <v>1466.4265210084811</v>
      </c>
      <c r="Z26" s="46">
        <v>1442.5051052770402</v>
      </c>
      <c r="AA26" s="46">
        <v>1430.5210456073762</v>
      </c>
      <c r="AB26" s="46">
        <v>1393.0549284930034</v>
      </c>
      <c r="AC26" s="46">
        <v>1365.3328198750132</v>
      </c>
      <c r="AD26" s="46">
        <v>1375.432306215884</v>
      </c>
      <c r="AE26" s="46">
        <v>1379.0704294050174</v>
      </c>
      <c r="AF26" s="147">
        <v>1369.0016288534528</v>
      </c>
    </row>
    <row r="27" spans="2:32" x14ac:dyDescent="0.2">
      <c r="B27" s="111" t="s">
        <v>162</v>
      </c>
      <c r="C27" s="239"/>
      <c r="D27" s="160"/>
      <c r="E27" s="160"/>
      <c r="F27" s="160"/>
      <c r="G27" s="160"/>
      <c r="H27" s="160"/>
      <c r="I27" s="160"/>
      <c r="J27" s="160"/>
      <c r="K27" s="160"/>
      <c r="L27" s="160"/>
      <c r="M27" s="240"/>
      <c r="N27" s="240"/>
      <c r="O27" s="240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1"/>
    </row>
    <row r="28" spans="2:32" s="72" customFormat="1" ht="12" customHeight="1" x14ac:dyDescent="0.2">
      <c r="B28" s="156" t="s">
        <v>68</v>
      </c>
      <c r="C28" s="66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149"/>
    </row>
    <row r="29" spans="2:32" s="72" customFormat="1" x14ac:dyDescent="0.2">
      <c r="B29" s="217" t="s">
        <v>40</v>
      </c>
      <c r="C29" s="218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f>2.2*3.6</f>
        <v>7.9200000000000008</v>
      </c>
      <c r="S29" s="46">
        <f>2.465*3.6</f>
        <v>8.8740000000000006</v>
      </c>
      <c r="T29" s="46">
        <f>4.57*3.6</f>
        <v>16.452000000000002</v>
      </c>
      <c r="U29" s="46">
        <f>14.914641*3.6</f>
        <v>53.692707599999999</v>
      </c>
      <c r="V29" s="46">
        <f>14.941818*3.6</f>
        <v>53.790544799999999</v>
      </c>
      <c r="W29" s="46">
        <f>25.83907*3.6</f>
        <v>93.020651999999998</v>
      </c>
      <c r="X29" s="46">
        <f>36.387606*3.6</f>
        <v>130.9953816</v>
      </c>
      <c r="Y29" s="46">
        <f>25.984716*3.6</f>
        <v>93.544977599999996</v>
      </c>
      <c r="Z29" s="46">
        <f>51.112555*3.6</f>
        <v>184.00519800000001</v>
      </c>
      <c r="AA29" s="46">
        <f>91.796689*3.6</f>
        <v>330.46808040000002</v>
      </c>
      <c r="AB29" s="46">
        <f>114.841994*3.6</f>
        <v>413.43117840000002</v>
      </c>
      <c r="AC29" s="46">
        <v>526.35599999999999</v>
      </c>
      <c r="AD29" s="46">
        <v>526.35599999999999</v>
      </c>
      <c r="AE29" s="46">
        <v>526.35599999999999</v>
      </c>
      <c r="AF29" s="147">
        <v>526.35599999999999</v>
      </c>
    </row>
    <row r="30" spans="2:32" x14ac:dyDescent="0.2">
      <c r="B30" s="217" t="s">
        <v>41</v>
      </c>
      <c r="C30" s="61">
        <v>0.05</v>
      </c>
      <c r="D30" s="50">
        <f t="shared" ref="D30:Z30" si="5">$C$30-(1-(($AA$2-D2)/($AA$2-$C$2)))*($C$30-$AA$30)</f>
        <v>4.895833333333334E-2</v>
      </c>
      <c r="E30" s="50">
        <f t="shared" si="5"/>
        <v>4.791666666666667E-2</v>
      </c>
      <c r="F30" s="50">
        <f t="shared" si="5"/>
        <v>4.6875E-2</v>
      </c>
      <c r="G30" s="50">
        <f t="shared" si="5"/>
        <v>4.5833333333333337E-2</v>
      </c>
      <c r="H30" s="50">
        <f t="shared" si="5"/>
        <v>4.4791666666666667E-2</v>
      </c>
      <c r="I30" s="50">
        <f t="shared" si="5"/>
        <v>4.3750000000000004E-2</v>
      </c>
      <c r="J30" s="50">
        <f t="shared" si="5"/>
        <v>4.2708333333333334E-2</v>
      </c>
      <c r="K30" s="50">
        <f t="shared" si="5"/>
        <v>4.1666666666666671E-2</v>
      </c>
      <c r="L30" s="50">
        <f t="shared" si="5"/>
        <v>4.0625000000000001E-2</v>
      </c>
      <c r="M30" s="50">
        <f t="shared" si="5"/>
        <v>3.9583333333333338E-2</v>
      </c>
      <c r="N30" s="50">
        <f t="shared" si="5"/>
        <v>3.8541666666666669E-2</v>
      </c>
      <c r="O30" s="50">
        <f t="shared" si="5"/>
        <v>3.7500000000000006E-2</v>
      </c>
      <c r="P30" s="50">
        <f t="shared" si="5"/>
        <v>3.6458333333333336E-2</v>
      </c>
      <c r="Q30" s="50">
        <f t="shared" si="5"/>
        <v>3.5416666666666673E-2</v>
      </c>
      <c r="R30" s="50">
        <f t="shared" si="5"/>
        <v>3.4375000000000003E-2</v>
      </c>
      <c r="S30" s="50">
        <f t="shared" si="5"/>
        <v>3.3333333333333333E-2</v>
      </c>
      <c r="T30" s="50">
        <f t="shared" si="5"/>
        <v>3.229166666666667E-2</v>
      </c>
      <c r="U30" s="50">
        <f t="shared" si="5"/>
        <v>3.125E-2</v>
      </c>
      <c r="V30" s="50">
        <f t="shared" si="5"/>
        <v>3.0208333333333337E-2</v>
      </c>
      <c r="W30" s="50">
        <f t="shared" si="5"/>
        <v>2.9166666666666667E-2</v>
      </c>
      <c r="X30" s="50">
        <f t="shared" si="5"/>
        <v>2.8125000000000001E-2</v>
      </c>
      <c r="Y30" s="50">
        <f t="shared" si="5"/>
        <v>2.7083333333333334E-2</v>
      </c>
      <c r="Z30" s="50">
        <f t="shared" si="5"/>
        <v>2.6041666666666668E-2</v>
      </c>
      <c r="AA30" s="49">
        <v>2.5000000000000001E-2</v>
      </c>
      <c r="AB30" s="49">
        <v>2.5000000000000001E-2</v>
      </c>
      <c r="AC30" s="49">
        <v>2.5000000000000001E-2</v>
      </c>
      <c r="AD30" s="49">
        <v>2.5000000000000001E-2</v>
      </c>
      <c r="AE30" s="49">
        <v>2.5000000000000001E-2</v>
      </c>
      <c r="AF30" s="150">
        <v>2.5000000000000001E-2</v>
      </c>
    </row>
    <row r="31" spans="2:32" x14ac:dyDescent="0.2">
      <c r="B31" s="145" t="s">
        <v>43</v>
      </c>
      <c r="C31" s="55">
        <f t="shared" ref="C31:AC31" si="6">C29*C30</f>
        <v>0</v>
      </c>
      <c r="D31" s="48">
        <f t="shared" si="6"/>
        <v>0</v>
      </c>
      <c r="E31" s="48">
        <f t="shared" si="6"/>
        <v>0</v>
      </c>
      <c r="F31" s="48">
        <f t="shared" si="6"/>
        <v>0</v>
      </c>
      <c r="G31" s="48">
        <f t="shared" si="6"/>
        <v>0</v>
      </c>
      <c r="H31" s="48">
        <f t="shared" si="6"/>
        <v>0</v>
      </c>
      <c r="I31" s="48">
        <f t="shared" si="6"/>
        <v>0</v>
      </c>
      <c r="J31" s="48">
        <f t="shared" si="6"/>
        <v>0</v>
      </c>
      <c r="K31" s="48">
        <f t="shared" si="6"/>
        <v>0</v>
      </c>
      <c r="L31" s="48">
        <f t="shared" si="6"/>
        <v>0</v>
      </c>
      <c r="M31" s="48">
        <f t="shared" si="6"/>
        <v>0</v>
      </c>
      <c r="N31" s="48">
        <f t="shared" si="6"/>
        <v>0</v>
      </c>
      <c r="O31" s="48">
        <f t="shared" si="6"/>
        <v>0</v>
      </c>
      <c r="P31" s="48">
        <f t="shared" si="6"/>
        <v>0</v>
      </c>
      <c r="Q31" s="48">
        <f t="shared" si="6"/>
        <v>0</v>
      </c>
      <c r="R31" s="45">
        <f t="shared" si="6"/>
        <v>0.27225000000000005</v>
      </c>
      <c r="S31" s="45">
        <f t="shared" si="6"/>
        <v>0.29580000000000001</v>
      </c>
      <c r="T31" s="45">
        <f t="shared" si="6"/>
        <v>0.53126250000000008</v>
      </c>
      <c r="U31" s="45">
        <f t="shared" si="6"/>
        <v>1.6778971125</v>
      </c>
      <c r="V31" s="45">
        <f t="shared" si="6"/>
        <v>1.6249227075000001</v>
      </c>
      <c r="W31" s="45">
        <f t="shared" si="6"/>
        <v>2.7131023499999998</v>
      </c>
      <c r="X31" s="45">
        <f t="shared" si="6"/>
        <v>3.6842451075000002</v>
      </c>
      <c r="Y31" s="45">
        <f t="shared" si="6"/>
        <v>2.53350981</v>
      </c>
      <c r="Z31" s="45">
        <f t="shared" si="6"/>
        <v>4.7918020312500005</v>
      </c>
      <c r="AA31" s="45">
        <f t="shared" si="6"/>
        <v>8.2617020100000005</v>
      </c>
      <c r="AB31" s="45">
        <f t="shared" si="6"/>
        <v>10.335779460000001</v>
      </c>
      <c r="AC31" s="45">
        <f t="shared" si="6"/>
        <v>13.158900000000001</v>
      </c>
      <c r="AD31" s="45">
        <f t="shared" ref="AD31:AF31" si="7">AD29*AD30</f>
        <v>13.158900000000001</v>
      </c>
      <c r="AE31" s="45">
        <f t="shared" si="7"/>
        <v>13.158900000000001</v>
      </c>
      <c r="AF31" s="146">
        <f t="shared" si="7"/>
        <v>13.158900000000001</v>
      </c>
    </row>
    <row r="32" spans="2:32" x14ac:dyDescent="0.2">
      <c r="B32" s="111" t="s">
        <v>162</v>
      </c>
      <c r="C32" s="55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146"/>
    </row>
    <row r="33" spans="2:32" x14ac:dyDescent="0.2">
      <c r="B33" s="156" t="s">
        <v>70</v>
      </c>
      <c r="C33" s="242"/>
      <c r="D33" s="161"/>
      <c r="E33" s="161"/>
      <c r="F33" s="161"/>
      <c r="G33" s="161"/>
      <c r="H33" s="161"/>
      <c r="I33" s="161"/>
      <c r="J33" s="161"/>
      <c r="K33" s="161"/>
      <c r="L33" s="161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/>
      <c r="AF33" s="163"/>
    </row>
    <row r="34" spans="2:32" x14ac:dyDescent="0.2">
      <c r="B34" s="141" t="s">
        <v>40</v>
      </c>
      <c r="C34" s="194">
        <f t="shared" ref="C34:AB34" si="8">(C23+C26+C29)/(1-C36-C39)</f>
        <v>1301.634</v>
      </c>
      <c r="D34" s="164">
        <f t="shared" si="8"/>
        <v>1324.152</v>
      </c>
      <c r="E34" s="164">
        <f t="shared" si="8"/>
        <v>1371.1644000000001</v>
      </c>
      <c r="F34" s="164">
        <f t="shared" si="8"/>
        <v>1424.9916000000001</v>
      </c>
      <c r="G34" s="164">
        <f t="shared" si="8"/>
        <v>1465.434</v>
      </c>
      <c r="H34" s="164">
        <f t="shared" si="8"/>
        <v>1487.88</v>
      </c>
      <c r="I34" s="164">
        <f t="shared" si="8"/>
        <v>1529.9280000000001</v>
      </c>
      <c r="J34" s="164">
        <f t="shared" si="8"/>
        <v>1584.3600000000001</v>
      </c>
      <c r="K34" s="164">
        <f t="shared" si="8"/>
        <v>1660.5</v>
      </c>
      <c r="L34" s="164">
        <f t="shared" si="8"/>
        <v>1711.944</v>
      </c>
      <c r="M34" s="164">
        <f t="shared" si="8"/>
        <v>1727.0483400000001</v>
      </c>
      <c r="N34" s="164">
        <f t="shared" si="8"/>
        <v>1834.72758</v>
      </c>
      <c r="O34" s="164">
        <f t="shared" si="8"/>
        <v>1825.02054</v>
      </c>
      <c r="P34" s="164">
        <f t="shared" si="8"/>
        <v>1828.0159200000001</v>
      </c>
      <c r="Q34" s="164">
        <f t="shared" si="8"/>
        <v>1845.4399200000003</v>
      </c>
      <c r="R34" s="164">
        <f t="shared" si="8"/>
        <v>1836.4550400000003</v>
      </c>
      <c r="S34" s="164">
        <f t="shared" si="8"/>
        <v>1930.9293902313627</v>
      </c>
      <c r="T34" s="164">
        <f t="shared" si="8"/>
        <v>1953.3749371311055</v>
      </c>
      <c r="U34" s="164">
        <f t="shared" si="8"/>
        <v>2006.0223214395885</v>
      </c>
      <c r="V34" s="164">
        <f t="shared" si="8"/>
        <v>2006.9373211311054</v>
      </c>
      <c r="W34" s="164">
        <f t="shared" si="8"/>
        <v>2107.6901305912597</v>
      </c>
      <c r="X34" s="164">
        <f t="shared" si="8"/>
        <v>2225.7350967609254</v>
      </c>
      <c r="Y34" s="164">
        <f t="shared" si="8"/>
        <v>2186.5619522966385</v>
      </c>
      <c r="Z34" s="164">
        <f t="shared" si="8"/>
        <v>2227.6413347043704</v>
      </c>
      <c r="AA34" s="164">
        <f t="shared" si="8"/>
        <v>2379.5784888431876</v>
      </c>
      <c r="AB34" s="164">
        <f t="shared" si="8"/>
        <v>2401.7348878149101</v>
      </c>
      <c r="AC34" s="164">
        <f>(AC23+AC26+AC29)/(1-AC36-AC39)</f>
        <v>2489.5341902313626</v>
      </c>
      <c r="AD34" s="164">
        <f t="shared" ref="AD34:AF34" si="9">(AD23+AD26+AD29)/(1-AD36-AD39)</f>
        <v>2486.794858611825</v>
      </c>
      <c r="AE34" s="164">
        <f t="shared" si="9"/>
        <v>2435.4879177377888</v>
      </c>
      <c r="AF34" s="165">
        <f t="shared" si="9"/>
        <v>2424.5305912596405</v>
      </c>
    </row>
    <row r="35" spans="2:32" x14ac:dyDescent="0.2">
      <c r="B35" s="156" t="s">
        <v>69</v>
      </c>
      <c r="C35" s="9"/>
      <c r="D35" s="9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9"/>
      <c r="X35" s="9"/>
      <c r="Y35" s="9"/>
      <c r="Z35" s="9"/>
      <c r="AA35" s="9"/>
      <c r="AB35" s="9"/>
      <c r="AC35" s="9"/>
      <c r="AD35" s="9"/>
      <c r="AE35" s="9"/>
      <c r="AF35" s="104"/>
    </row>
    <row r="36" spans="2:32" x14ac:dyDescent="0.2">
      <c r="B36" s="141" t="s">
        <v>42</v>
      </c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>
        <v>0.02</v>
      </c>
      <c r="T36" s="51">
        <v>0.02</v>
      </c>
      <c r="U36" s="51">
        <v>0.02</v>
      </c>
      <c r="V36" s="51">
        <v>0.02</v>
      </c>
      <c r="W36" s="51">
        <v>0.02</v>
      </c>
      <c r="X36" s="51">
        <v>0.02</v>
      </c>
      <c r="Y36" s="51">
        <v>0.02</v>
      </c>
      <c r="Z36" s="51">
        <v>0.02</v>
      </c>
      <c r="AA36" s="51">
        <v>0.02</v>
      </c>
      <c r="AB36" s="51">
        <v>0.02</v>
      </c>
      <c r="AC36" s="51">
        <v>0.02</v>
      </c>
      <c r="AD36" s="51">
        <v>0.02</v>
      </c>
      <c r="AE36" s="51">
        <v>0.02</v>
      </c>
      <c r="AF36" s="51">
        <v>0.02</v>
      </c>
    </row>
    <row r="37" spans="2:32" x14ac:dyDescent="0.2">
      <c r="B37" s="233" t="s">
        <v>40</v>
      </c>
      <c r="C37" s="37">
        <v>255.6</v>
      </c>
      <c r="D37" s="39">
        <v>246.87213035827594</v>
      </c>
      <c r="E37" s="47">
        <v>235.52231960929356</v>
      </c>
      <c r="F37" s="47">
        <v>223.21736424217227</v>
      </c>
      <c r="G37" s="47">
        <v>211.76238346257776</v>
      </c>
      <c r="H37" s="47">
        <v>198.62116080788849</v>
      </c>
      <c r="I37" s="47">
        <v>184.61250031971079</v>
      </c>
      <c r="J37" s="47">
        <v>169.95426292915391</v>
      </c>
      <c r="K37" s="47">
        <v>155.33425965459242</v>
      </c>
      <c r="L37" s="47">
        <v>140.48478605384204</v>
      </c>
      <c r="M37" s="47">
        <v>125.24024969897145</v>
      </c>
      <c r="N37" s="47">
        <v>110.52</v>
      </c>
      <c r="O37" s="47">
        <v>95.127740660671535</v>
      </c>
      <c r="P37" s="47">
        <v>79.416618702970695</v>
      </c>
      <c r="Q37" s="47">
        <v>63.213073631421203</v>
      </c>
      <c r="R37" s="47">
        <v>46.574667229110609</v>
      </c>
      <c r="S37" s="47">
        <f t="shared" ref="S37:AC37" si="10">S34*S36</f>
        <v>38.618587804627253</v>
      </c>
      <c r="T37" s="47">
        <f t="shared" si="10"/>
        <v>39.067498742622114</v>
      </c>
      <c r="U37" s="47">
        <f t="shared" si="10"/>
        <v>40.120446428791773</v>
      </c>
      <c r="V37" s="47">
        <f t="shared" si="10"/>
        <v>40.138746422622106</v>
      </c>
      <c r="W37" s="47">
        <f t="shared" si="10"/>
        <v>42.153802611825192</v>
      </c>
      <c r="X37" s="47">
        <f t="shared" si="10"/>
        <v>44.514701935218511</v>
      </c>
      <c r="Y37" s="47">
        <f t="shared" si="10"/>
        <v>43.731239045932774</v>
      </c>
      <c r="Z37" s="47">
        <f t="shared" si="10"/>
        <v>44.552826694087408</v>
      </c>
      <c r="AA37" s="47">
        <f t="shared" si="10"/>
        <v>47.591569776863757</v>
      </c>
      <c r="AB37" s="47">
        <f t="shared" si="10"/>
        <v>48.0346977562982</v>
      </c>
      <c r="AC37" s="47">
        <f t="shared" si="10"/>
        <v>49.79068380462725</v>
      </c>
      <c r="AD37" s="47">
        <f t="shared" ref="AD37:AF37" si="11">AD34*AD36</f>
        <v>49.735897172236498</v>
      </c>
      <c r="AE37" s="47">
        <f t="shared" si="11"/>
        <v>48.709758354755778</v>
      </c>
      <c r="AF37" s="216">
        <f t="shared" si="11"/>
        <v>48.490611825192808</v>
      </c>
    </row>
    <row r="38" spans="2:32" x14ac:dyDescent="0.2">
      <c r="B38" s="322" t="s">
        <v>88</v>
      </c>
      <c r="C38" s="1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101"/>
    </row>
    <row r="39" spans="2:32" x14ac:dyDescent="0.2">
      <c r="B39" s="141" t="s">
        <v>44</v>
      </c>
      <c r="C39" s="24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>
        <v>7.4999999999999997E-3</v>
      </c>
      <c r="T39" s="53">
        <v>7.4999999999999997E-3</v>
      </c>
      <c r="U39" s="53">
        <v>7.4999999999999997E-3</v>
      </c>
      <c r="V39" s="53">
        <v>7.4999999999999997E-3</v>
      </c>
      <c r="W39" s="53">
        <v>7.4999999999999997E-3</v>
      </c>
      <c r="X39" s="53">
        <v>7.4999999999999997E-3</v>
      </c>
      <c r="Y39" s="53">
        <v>7.4999999999999997E-3</v>
      </c>
      <c r="Z39" s="53">
        <v>7.4999999999999997E-3</v>
      </c>
      <c r="AA39" s="53">
        <v>7.4999999999999997E-3</v>
      </c>
      <c r="AB39" s="53">
        <v>7.4999999999999997E-3</v>
      </c>
      <c r="AC39" s="53">
        <v>7.4999999999999997E-3</v>
      </c>
      <c r="AD39" s="53">
        <v>7.4999999999999997E-3</v>
      </c>
      <c r="AE39" s="53">
        <v>7.4999999999999997E-3</v>
      </c>
      <c r="AF39" s="53">
        <v>7.4999999999999997E-3</v>
      </c>
    </row>
    <row r="40" spans="2:32" ht="13.5" thickBot="1" x14ac:dyDescent="0.25">
      <c r="B40" s="141" t="s">
        <v>46</v>
      </c>
      <c r="C40" s="44">
        <v>9.5313199162500002</v>
      </c>
      <c r="D40" s="45">
        <v>9.7563415949999985</v>
      </c>
      <c r="E40" s="45">
        <v>9.8997773319843727</v>
      </c>
      <c r="F40" s="45">
        <v>10.019822657624999</v>
      </c>
      <c r="G40" s="45">
        <v>10.198297261968747</v>
      </c>
      <c r="H40" s="45">
        <v>10.317236179078124</v>
      </c>
      <c r="I40" s="45">
        <v>10.407564306562499</v>
      </c>
      <c r="J40" s="45">
        <v>10.474704604546874</v>
      </c>
      <c r="K40" s="45">
        <v>10.558254031874998</v>
      </c>
      <c r="L40" s="45">
        <v>10.643573712853124</v>
      </c>
      <c r="M40" s="45">
        <v>10.71718104661875</v>
      </c>
      <c r="N40" s="45">
        <v>10.864222740421875</v>
      </c>
      <c r="O40" s="45">
        <v>10.985047226999999</v>
      </c>
      <c r="P40" s="45">
        <v>11.112416665453123</v>
      </c>
      <c r="Q40" s="45">
        <v>11.220796393537499</v>
      </c>
      <c r="R40" s="45">
        <v>11.303236295690599</v>
      </c>
      <c r="S40" s="244">
        <f>S34*S39</f>
        <v>14.48197042673522</v>
      </c>
      <c r="T40" s="244">
        <f t="shared" ref="T40:AC40" si="12">T34*T39</f>
        <v>14.650312028483292</v>
      </c>
      <c r="U40" s="244">
        <f t="shared" si="12"/>
        <v>15.045167410796914</v>
      </c>
      <c r="V40" s="244">
        <f t="shared" si="12"/>
        <v>15.05202990848329</v>
      </c>
      <c r="W40" s="244">
        <f t="shared" si="12"/>
        <v>15.807675979434448</v>
      </c>
      <c r="X40" s="244">
        <f t="shared" si="12"/>
        <v>16.693013225706942</v>
      </c>
      <c r="Y40" s="244">
        <f t="shared" si="12"/>
        <v>16.399214642224788</v>
      </c>
      <c r="Z40" s="244">
        <f t="shared" si="12"/>
        <v>16.707310010282779</v>
      </c>
      <c r="AA40" s="244">
        <f t="shared" si="12"/>
        <v>17.846838666323908</v>
      </c>
      <c r="AB40" s="244">
        <f t="shared" si="12"/>
        <v>18.013011658611823</v>
      </c>
      <c r="AC40" s="244">
        <f t="shared" si="12"/>
        <v>18.671506426735217</v>
      </c>
      <c r="AD40" s="244">
        <f t="shared" ref="AD40:AF40" si="13">AD34*AD39</f>
        <v>18.650961439588688</v>
      </c>
      <c r="AE40" s="244">
        <f t="shared" si="13"/>
        <v>18.266159383033415</v>
      </c>
      <c r="AF40" s="245">
        <f t="shared" si="13"/>
        <v>18.183979434447302</v>
      </c>
    </row>
    <row r="41" spans="2:32" ht="19.5" customHeight="1" x14ac:dyDescent="0.2">
      <c r="B41" s="168" t="s">
        <v>123</v>
      </c>
      <c r="C41" s="169"/>
      <c r="D41" s="169"/>
      <c r="E41" s="169"/>
      <c r="F41" s="169"/>
      <c r="G41" s="169"/>
      <c r="H41" s="169"/>
      <c r="I41" s="169"/>
      <c r="J41" s="169"/>
      <c r="K41" s="169"/>
      <c r="L41" s="169"/>
      <c r="M41" s="169"/>
      <c r="N41" s="169"/>
      <c r="O41" s="169"/>
      <c r="P41" s="169"/>
      <c r="Q41" s="169"/>
      <c r="R41" s="169"/>
      <c r="S41" s="169"/>
      <c r="T41" s="169"/>
      <c r="U41" s="169"/>
      <c r="V41" s="169"/>
      <c r="W41" s="169"/>
      <c r="X41" s="169"/>
      <c r="Y41" s="169"/>
      <c r="Z41" s="169"/>
      <c r="AA41" s="169"/>
      <c r="AB41" s="169"/>
      <c r="AC41" s="169"/>
      <c r="AD41" s="169"/>
      <c r="AE41" s="169"/>
      <c r="AF41" s="170"/>
    </row>
    <row r="42" spans="2:32" ht="14.25" x14ac:dyDescent="0.25">
      <c r="B42" s="97" t="s">
        <v>93</v>
      </c>
      <c r="C42" s="16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101"/>
    </row>
    <row r="43" spans="2:32" ht="15.75" x14ac:dyDescent="0.3">
      <c r="B43" s="99" t="s">
        <v>36</v>
      </c>
      <c r="C43" s="33">
        <v>0.6</v>
      </c>
      <c r="D43" s="34">
        <v>0.6</v>
      </c>
      <c r="E43" s="34">
        <v>0.6</v>
      </c>
      <c r="F43" s="34">
        <v>0.6</v>
      </c>
      <c r="G43" s="34">
        <v>0.6</v>
      </c>
      <c r="H43" s="34">
        <v>0.6</v>
      </c>
      <c r="I43" s="34">
        <v>0.6</v>
      </c>
      <c r="J43" s="34">
        <v>0.6</v>
      </c>
      <c r="K43" s="34">
        <v>0.6</v>
      </c>
      <c r="L43" s="34">
        <v>0.6</v>
      </c>
      <c r="M43" s="34">
        <v>0.6</v>
      </c>
      <c r="N43" s="34">
        <v>0.6</v>
      </c>
      <c r="O43" s="34">
        <v>0.6</v>
      </c>
      <c r="P43" s="34">
        <v>0.6</v>
      </c>
      <c r="Q43" s="34">
        <v>0.6</v>
      </c>
      <c r="R43" s="34">
        <v>0.6</v>
      </c>
      <c r="S43" s="34">
        <v>0.6</v>
      </c>
      <c r="T43" s="34">
        <v>0.6</v>
      </c>
      <c r="U43" s="34">
        <v>0.6</v>
      </c>
      <c r="V43" s="34">
        <v>0.6</v>
      </c>
      <c r="W43" s="34">
        <v>0.6</v>
      </c>
      <c r="X43" s="34">
        <v>0.6</v>
      </c>
      <c r="Y43" s="34">
        <v>0.6</v>
      </c>
      <c r="Z43" s="34">
        <v>0.6</v>
      </c>
      <c r="AA43" s="34">
        <v>0.6</v>
      </c>
      <c r="AB43" s="34">
        <v>0.6</v>
      </c>
      <c r="AC43" s="34">
        <v>0.6</v>
      </c>
      <c r="AD43" s="34">
        <v>0.6</v>
      </c>
      <c r="AE43" s="34">
        <v>0.6</v>
      </c>
      <c r="AF43" s="212">
        <v>0.6</v>
      </c>
    </row>
    <row r="44" spans="2:32" x14ac:dyDescent="0.2">
      <c r="B44" s="211" t="s">
        <v>98</v>
      </c>
      <c r="C44" s="3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104"/>
    </row>
    <row r="45" spans="2:32" x14ac:dyDescent="0.2">
      <c r="B45" s="97" t="s">
        <v>37</v>
      </c>
      <c r="C45" s="16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101"/>
    </row>
    <row r="46" spans="2:32" x14ac:dyDescent="0.2">
      <c r="B46" s="99" t="s">
        <v>15</v>
      </c>
      <c r="C46" s="33">
        <v>0.05</v>
      </c>
      <c r="D46" s="34">
        <v>0.05</v>
      </c>
      <c r="E46" s="34">
        <v>0.05</v>
      </c>
      <c r="F46" s="34">
        <v>0.05</v>
      </c>
      <c r="G46" s="34">
        <v>0.05</v>
      </c>
      <c r="H46" s="34">
        <v>0.05</v>
      </c>
      <c r="I46" s="34">
        <v>0.05</v>
      </c>
      <c r="J46" s="34">
        <v>0.05</v>
      </c>
      <c r="K46" s="34">
        <v>0.05</v>
      </c>
      <c r="L46" s="34">
        <v>0.05</v>
      </c>
      <c r="M46" s="34">
        <v>0.05</v>
      </c>
      <c r="N46" s="34">
        <v>0.05</v>
      </c>
      <c r="O46" s="34">
        <v>0.05</v>
      </c>
      <c r="P46" s="34">
        <v>0.05</v>
      </c>
      <c r="Q46" s="34">
        <v>0.05</v>
      </c>
      <c r="R46" s="34">
        <v>0.05</v>
      </c>
      <c r="S46" s="34">
        <v>0.05</v>
      </c>
      <c r="T46" s="34">
        <v>0.05</v>
      </c>
      <c r="U46" s="34">
        <v>0.05</v>
      </c>
      <c r="V46" s="34">
        <v>0.05</v>
      </c>
      <c r="W46" s="34">
        <v>0.05</v>
      </c>
      <c r="X46" s="34">
        <v>0.05</v>
      </c>
      <c r="Y46" s="34">
        <v>0.05</v>
      </c>
      <c r="Z46" s="34">
        <v>0.05</v>
      </c>
      <c r="AA46" s="34">
        <v>0.05</v>
      </c>
      <c r="AB46" s="34">
        <v>0.05</v>
      </c>
      <c r="AC46" s="34">
        <v>0.05</v>
      </c>
      <c r="AD46" s="34">
        <v>0.05</v>
      </c>
      <c r="AE46" s="34">
        <v>0.05</v>
      </c>
      <c r="AF46" s="212">
        <v>0.05</v>
      </c>
    </row>
    <row r="47" spans="2:32" x14ac:dyDescent="0.2">
      <c r="B47" s="157" t="s">
        <v>97</v>
      </c>
      <c r="C47" s="5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16"/>
    </row>
    <row r="48" spans="2:32" x14ac:dyDescent="0.2">
      <c r="B48" s="103" t="s">
        <v>38</v>
      </c>
      <c r="C48" s="3"/>
      <c r="D48" s="9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9"/>
      <c r="X48" s="9"/>
      <c r="Y48" s="9"/>
      <c r="Z48" s="9"/>
      <c r="AA48" s="9"/>
      <c r="AB48" s="9"/>
      <c r="AC48" s="9"/>
      <c r="AD48" s="9"/>
      <c r="AE48" s="9"/>
      <c r="AF48" s="104"/>
    </row>
    <row r="49" spans="2:32" x14ac:dyDescent="0.2">
      <c r="B49" s="99" t="s">
        <v>15</v>
      </c>
      <c r="C49" s="3">
        <f t="shared" ref="C49:AC49" si="14">C46*C43</f>
        <v>0.03</v>
      </c>
      <c r="D49" s="9">
        <f t="shared" si="14"/>
        <v>0.03</v>
      </c>
      <c r="E49" s="22">
        <f t="shared" si="14"/>
        <v>0.03</v>
      </c>
      <c r="F49" s="22">
        <f t="shared" si="14"/>
        <v>0.03</v>
      </c>
      <c r="G49" s="22">
        <f t="shared" si="14"/>
        <v>0.03</v>
      </c>
      <c r="H49" s="22">
        <f t="shared" si="14"/>
        <v>0.03</v>
      </c>
      <c r="I49" s="22">
        <f t="shared" si="14"/>
        <v>0.03</v>
      </c>
      <c r="J49" s="22">
        <f t="shared" si="14"/>
        <v>0.03</v>
      </c>
      <c r="K49" s="22">
        <f t="shared" si="14"/>
        <v>0.03</v>
      </c>
      <c r="L49" s="22">
        <f t="shared" si="14"/>
        <v>0.03</v>
      </c>
      <c r="M49" s="22">
        <f t="shared" si="14"/>
        <v>0.03</v>
      </c>
      <c r="N49" s="22">
        <f t="shared" si="14"/>
        <v>0.03</v>
      </c>
      <c r="O49" s="22">
        <f t="shared" si="14"/>
        <v>0.03</v>
      </c>
      <c r="P49" s="22">
        <f t="shared" si="14"/>
        <v>0.03</v>
      </c>
      <c r="Q49" s="22">
        <f t="shared" si="14"/>
        <v>0.03</v>
      </c>
      <c r="R49" s="22">
        <f t="shared" si="14"/>
        <v>0.03</v>
      </c>
      <c r="S49" s="22">
        <f t="shared" si="14"/>
        <v>0.03</v>
      </c>
      <c r="T49" s="22">
        <f t="shared" si="14"/>
        <v>0.03</v>
      </c>
      <c r="U49" s="22">
        <f t="shared" si="14"/>
        <v>0.03</v>
      </c>
      <c r="V49" s="22">
        <f t="shared" si="14"/>
        <v>0.03</v>
      </c>
      <c r="W49" s="9">
        <f t="shared" si="14"/>
        <v>0.03</v>
      </c>
      <c r="X49" s="9">
        <f t="shared" si="14"/>
        <v>0.03</v>
      </c>
      <c r="Y49" s="9">
        <f t="shared" si="14"/>
        <v>0.03</v>
      </c>
      <c r="Z49" s="9">
        <f t="shared" si="14"/>
        <v>0.03</v>
      </c>
      <c r="AA49" s="9">
        <f t="shared" si="14"/>
        <v>0.03</v>
      </c>
      <c r="AB49" s="9">
        <f t="shared" si="14"/>
        <v>0.03</v>
      </c>
      <c r="AC49" s="9">
        <f t="shared" si="14"/>
        <v>0.03</v>
      </c>
      <c r="AD49" s="9">
        <f t="shared" ref="AD49:AF49" si="15">AD46*AD43</f>
        <v>0.03</v>
      </c>
      <c r="AE49" s="9">
        <f t="shared" si="15"/>
        <v>0.03</v>
      </c>
      <c r="AF49" s="104">
        <f t="shared" si="15"/>
        <v>0.03</v>
      </c>
    </row>
    <row r="50" spans="2:32" ht="13.5" thickBot="1" x14ac:dyDescent="0.25">
      <c r="B50" s="105" t="s">
        <v>16</v>
      </c>
      <c r="C50" s="106"/>
      <c r="D50" s="107"/>
      <c r="E50" s="219"/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107"/>
      <c r="X50" s="107"/>
      <c r="Y50" s="107"/>
      <c r="Z50" s="107"/>
      <c r="AA50" s="107"/>
      <c r="AB50" s="107"/>
      <c r="AC50" s="107"/>
      <c r="AD50" s="107"/>
      <c r="AE50" s="107"/>
      <c r="AF50" s="109"/>
    </row>
    <row r="51" spans="2:32" x14ac:dyDescent="0.2">
      <c r="B51" s="103" t="s">
        <v>77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104"/>
    </row>
    <row r="52" spans="2:32" ht="15.75" x14ac:dyDescent="0.3">
      <c r="B52" s="145" t="s">
        <v>45</v>
      </c>
      <c r="C52" s="44">
        <v>6</v>
      </c>
      <c r="D52" s="45">
        <v>6</v>
      </c>
      <c r="E52" s="45">
        <v>6</v>
      </c>
      <c r="F52" s="45">
        <v>6</v>
      </c>
      <c r="G52" s="45">
        <v>6</v>
      </c>
      <c r="H52" s="45">
        <v>6</v>
      </c>
      <c r="I52" s="45">
        <v>6</v>
      </c>
      <c r="J52" s="45">
        <v>6</v>
      </c>
      <c r="K52" s="45">
        <v>6</v>
      </c>
      <c r="L52" s="45">
        <v>6</v>
      </c>
      <c r="M52" s="45">
        <v>6</v>
      </c>
      <c r="N52" s="45">
        <v>6</v>
      </c>
      <c r="O52" s="45">
        <v>6</v>
      </c>
      <c r="P52" s="45">
        <v>6</v>
      </c>
      <c r="Q52" s="45">
        <v>6</v>
      </c>
      <c r="R52" s="45">
        <v>6</v>
      </c>
      <c r="S52" s="45">
        <v>6</v>
      </c>
      <c r="T52" s="45">
        <v>6</v>
      </c>
      <c r="U52" s="45">
        <v>6</v>
      </c>
      <c r="V52" s="45">
        <v>6</v>
      </c>
      <c r="W52" s="45">
        <v>6</v>
      </c>
      <c r="X52" s="45">
        <v>6</v>
      </c>
      <c r="Y52" s="45">
        <v>6</v>
      </c>
      <c r="Z52" s="45">
        <v>6</v>
      </c>
      <c r="AA52" s="45">
        <v>6</v>
      </c>
      <c r="AB52" s="45">
        <v>6</v>
      </c>
      <c r="AC52" s="45">
        <v>6</v>
      </c>
      <c r="AD52" s="45">
        <v>6</v>
      </c>
      <c r="AE52" s="45">
        <v>6</v>
      </c>
      <c r="AF52" s="146">
        <v>6</v>
      </c>
    </row>
    <row r="53" spans="2:32" x14ac:dyDescent="0.2">
      <c r="B53" s="156" t="s">
        <v>72</v>
      </c>
      <c r="C53" s="180"/>
      <c r="D53" s="173"/>
      <c r="E53" s="173"/>
      <c r="F53" s="173"/>
      <c r="G53" s="173"/>
      <c r="H53" s="173"/>
      <c r="I53" s="173"/>
      <c r="J53" s="173"/>
      <c r="K53" s="173"/>
      <c r="L53" s="173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20"/>
      <c r="Y53" s="220"/>
      <c r="Z53" s="220"/>
      <c r="AA53" s="220"/>
      <c r="AB53" s="220"/>
      <c r="AC53" s="220"/>
      <c r="AD53" s="220"/>
      <c r="AE53" s="220"/>
      <c r="AF53" s="221"/>
    </row>
    <row r="54" spans="2:32" ht="15.75" x14ac:dyDescent="0.3">
      <c r="B54" s="233" t="s">
        <v>45</v>
      </c>
      <c r="C54" s="225">
        <v>0</v>
      </c>
      <c r="D54" s="226">
        <v>0</v>
      </c>
      <c r="E54" s="226">
        <v>0</v>
      </c>
      <c r="F54" s="226">
        <v>0</v>
      </c>
      <c r="G54" s="226">
        <v>0</v>
      </c>
      <c r="H54" s="226">
        <v>0</v>
      </c>
      <c r="I54" s="226">
        <v>0</v>
      </c>
      <c r="J54" s="226">
        <v>0</v>
      </c>
      <c r="K54" s="226">
        <v>0</v>
      </c>
      <c r="L54" s="226">
        <v>0</v>
      </c>
      <c r="M54" s="227">
        <v>0</v>
      </c>
      <c r="N54" s="227">
        <v>0</v>
      </c>
      <c r="O54" s="227">
        <v>0</v>
      </c>
      <c r="P54" s="227">
        <v>0</v>
      </c>
      <c r="Q54" s="227">
        <v>0</v>
      </c>
      <c r="R54" s="227">
        <v>0</v>
      </c>
      <c r="S54" s="227">
        <v>0</v>
      </c>
      <c r="T54" s="227">
        <v>0</v>
      </c>
      <c r="U54" s="227">
        <v>0</v>
      </c>
      <c r="V54" s="227">
        <v>0</v>
      </c>
      <c r="W54" s="227">
        <v>0</v>
      </c>
      <c r="X54" s="227">
        <v>0</v>
      </c>
      <c r="Y54" s="227">
        <v>0</v>
      </c>
      <c r="Z54" s="227">
        <v>0</v>
      </c>
      <c r="AA54" s="227">
        <v>0</v>
      </c>
      <c r="AB54" s="227">
        <v>0</v>
      </c>
      <c r="AC54" s="227">
        <v>0</v>
      </c>
      <c r="AD54" s="227">
        <v>0</v>
      </c>
      <c r="AE54" s="227">
        <v>0</v>
      </c>
      <c r="AF54" s="228">
        <v>0</v>
      </c>
    </row>
    <row r="55" spans="2:32" x14ac:dyDescent="0.2">
      <c r="B55" s="97" t="s">
        <v>73</v>
      </c>
      <c r="C55" s="55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146"/>
    </row>
    <row r="56" spans="2:32" ht="15.75" x14ac:dyDescent="0.3">
      <c r="B56" s="99" t="s">
        <v>45</v>
      </c>
      <c r="C56" s="54">
        <v>19945.139407044298</v>
      </c>
      <c r="D56" s="25">
        <v>19945.139407044298</v>
      </c>
      <c r="E56" s="26">
        <v>19945.139407044298</v>
      </c>
      <c r="F56" s="26">
        <v>19945.139407044298</v>
      </c>
      <c r="G56" s="26">
        <v>19945.139407044298</v>
      </c>
      <c r="H56" s="26">
        <v>19945.139407044298</v>
      </c>
      <c r="I56" s="26">
        <v>19945.139407044298</v>
      </c>
      <c r="J56" s="26">
        <v>19945.139407044298</v>
      </c>
      <c r="K56" s="26">
        <v>19945.139407044298</v>
      </c>
      <c r="L56" s="26">
        <v>19945.139407044298</v>
      </c>
      <c r="M56" s="26">
        <v>19945.139407044298</v>
      </c>
      <c r="N56" s="26">
        <v>19945.139407044298</v>
      </c>
      <c r="O56" s="26">
        <v>19945.139407044298</v>
      </c>
      <c r="P56" s="26">
        <v>19945.139407044298</v>
      </c>
      <c r="Q56" s="26">
        <v>19945.139407044298</v>
      </c>
      <c r="R56" s="26">
        <v>19945.139407044298</v>
      </c>
      <c r="S56" s="26">
        <v>19945.139407044298</v>
      </c>
      <c r="T56" s="26">
        <v>19945.139407044298</v>
      </c>
      <c r="U56" s="26">
        <v>19945.139407044298</v>
      </c>
      <c r="V56" s="26">
        <v>19945.139407044298</v>
      </c>
      <c r="W56" s="25">
        <v>19945.139407044298</v>
      </c>
      <c r="X56" s="25">
        <v>19945.139407044298</v>
      </c>
      <c r="Y56" s="25">
        <v>19945.139407044298</v>
      </c>
      <c r="Z56" s="25">
        <v>19945.139407044298</v>
      </c>
      <c r="AA56" s="25">
        <v>19945.139407044298</v>
      </c>
      <c r="AB56" s="25">
        <v>19945.139407044298</v>
      </c>
      <c r="AC56" s="25">
        <v>19945.139407044298</v>
      </c>
      <c r="AD56" s="25">
        <v>19946.139407044298</v>
      </c>
      <c r="AE56" s="25">
        <v>19947.139407044298</v>
      </c>
      <c r="AF56" s="151">
        <v>19948.139407044298</v>
      </c>
    </row>
    <row r="57" spans="2:32" x14ac:dyDescent="0.2">
      <c r="B57" s="97" t="s">
        <v>74</v>
      </c>
      <c r="C57" s="224"/>
      <c r="D57" s="176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7"/>
      <c r="AE57" s="177"/>
      <c r="AF57" s="178"/>
    </row>
    <row r="58" spans="2:32" ht="15.75" x14ac:dyDescent="0.3">
      <c r="B58" s="159" t="s">
        <v>45</v>
      </c>
      <c r="C58" s="194">
        <v>6</v>
      </c>
      <c r="D58" s="164">
        <v>6</v>
      </c>
      <c r="E58" s="166">
        <v>6</v>
      </c>
      <c r="F58" s="166">
        <v>6</v>
      </c>
      <c r="G58" s="166">
        <v>6</v>
      </c>
      <c r="H58" s="166">
        <v>6</v>
      </c>
      <c r="I58" s="166">
        <v>6</v>
      </c>
      <c r="J58" s="166">
        <v>6</v>
      </c>
      <c r="K58" s="166">
        <v>6</v>
      </c>
      <c r="L58" s="166">
        <v>6</v>
      </c>
      <c r="M58" s="166">
        <v>6</v>
      </c>
      <c r="N58" s="166">
        <v>6</v>
      </c>
      <c r="O58" s="166">
        <v>6</v>
      </c>
      <c r="P58" s="166">
        <v>6</v>
      </c>
      <c r="Q58" s="166">
        <v>6</v>
      </c>
      <c r="R58" s="166">
        <v>6</v>
      </c>
      <c r="S58" s="166">
        <v>6</v>
      </c>
      <c r="T58" s="166">
        <v>6</v>
      </c>
      <c r="U58" s="166">
        <v>6</v>
      </c>
      <c r="V58" s="166">
        <v>6</v>
      </c>
      <c r="W58" s="166">
        <v>6</v>
      </c>
      <c r="X58" s="166">
        <v>6</v>
      </c>
      <c r="Y58" s="166">
        <v>6</v>
      </c>
      <c r="Z58" s="166">
        <v>6</v>
      </c>
      <c r="AA58" s="166">
        <v>6</v>
      </c>
      <c r="AB58" s="166">
        <v>6</v>
      </c>
      <c r="AC58" s="166">
        <v>6</v>
      </c>
      <c r="AD58" s="166">
        <v>7</v>
      </c>
      <c r="AE58" s="166">
        <v>8</v>
      </c>
      <c r="AF58" s="167">
        <v>9</v>
      </c>
    </row>
    <row r="59" spans="2:32" x14ac:dyDescent="0.2">
      <c r="B59" s="103" t="s">
        <v>89</v>
      </c>
      <c r="C59" s="3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152"/>
    </row>
    <row r="60" spans="2:32" ht="16.5" thickBot="1" x14ac:dyDescent="0.35">
      <c r="B60" s="99" t="s">
        <v>45</v>
      </c>
      <c r="C60" s="54">
        <v>19945.139407044298</v>
      </c>
      <c r="D60" s="25">
        <v>19945.139407044298</v>
      </c>
      <c r="E60" s="26">
        <v>19945.139407044298</v>
      </c>
      <c r="F60" s="26">
        <v>19945.139407044298</v>
      </c>
      <c r="G60" s="26">
        <v>19945.139407044298</v>
      </c>
      <c r="H60" s="26">
        <v>19945.139407044298</v>
      </c>
      <c r="I60" s="26">
        <v>19945.139407044298</v>
      </c>
      <c r="J60" s="26">
        <v>19945.139407044298</v>
      </c>
      <c r="K60" s="26">
        <v>19945.139407044298</v>
      </c>
      <c r="L60" s="26">
        <v>19945.139407044298</v>
      </c>
      <c r="M60" s="26">
        <v>19945.139407044298</v>
      </c>
      <c r="N60" s="26">
        <v>19945.139407044298</v>
      </c>
      <c r="O60" s="26">
        <v>19945.139407044298</v>
      </c>
      <c r="P60" s="26">
        <v>19945.139407044298</v>
      </c>
      <c r="Q60" s="26">
        <v>19945.139407044298</v>
      </c>
      <c r="R60" s="26">
        <v>19945.139407044298</v>
      </c>
      <c r="S60" s="26">
        <v>19945.139407044298</v>
      </c>
      <c r="T60" s="26">
        <v>19945.139407044298</v>
      </c>
      <c r="U60" s="26">
        <v>19945.139407044298</v>
      </c>
      <c r="V60" s="26">
        <v>19945.139407044298</v>
      </c>
      <c r="W60" s="25">
        <v>19945.139407044298</v>
      </c>
      <c r="X60" s="25">
        <v>19945.139407044298</v>
      </c>
      <c r="Y60" s="25">
        <v>19945.139407044298</v>
      </c>
      <c r="Z60" s="25">
        <v>19945.139407044298</v>
      </c>
      <c r="AA60" s="25">
        <v>19945.139407044298</v>
      </c>
      <c r="AB60" s="25">
        <v>19945.139407044298</v>
      </c>
      <c r="AC60" s="25">
        <v>19945.139407044298</v>
      </c>
      <c r="AD60" s="25">
        <v>19946.139407044298</v>
      </c>
      <c r="AE60" s="25">
        <v>19947.139407044298</v>
      </c>
      <c r="AF60" s="151">
        <v>19948.139407044298</v>
      </c>
    </row>
    <row r="61" spans="2:32" ht="19.5" customHeight="1" x14ac:dyDescent="0.2">
      <c r="B61" s="168" t="s">
        <v>122</v>
      </c>
      <c r="C61" s="169"/>
      <c r="D61" s="169"/>
      <c r="E61" s="169"/>
      <c r="F61" s="169"/>
      <c r="G61" s="169"/>
      <c r="H61" s="169"/>
      <c r="I61" s="169"/>
      <c r="J61" s="169"/>
      <c r="K61" s="169"/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70"/>
    </row>
    <row r="62" spans="2:32" x14ac:dyDescent="0.2">
      <c r="B62" s="97" t="s">
        <v>91</v>
      </c>
      <c r="C62" s="80"/>
      <c r="D62" s="81"/>
      <c r="E62" s="203"/>
      <c r="F62" s="203"/>
      <c r="G62" s="203"/>
      <c r="H62" s="203"/>
      <c r="I62" s="203"/>
      <c r="J62" s="203"/>
      <c r="K62" s="203"/>
      <c r="L62" s="203"/>
      <c r="M62" s="203"/>
      <c r="N62" s="203"/>
      <c r="O62" s="203"/>
      <c r="P62" s="203"/>
      <c r="Q62" s="203"/>
      <c r="R62" s="203"/>
      <c r="S62" s="203"/>
      <c r="T62" s="203"/>
      <c r="U62" s="203"/>
      <c r="V62" s="203"/>
      <c r="W62" s="81"/>
      <c r="X62" s="81"/>
      <c r="Y62" s="81"/>
      <c r="Z62" s="81"/>
      <c r="AA62" s="81"/>
      <c r="AB62" s="81"/>
      <c r="AC62" s="81"/>
      <c r="AD62" s="81"/>
      <c r="AE62" s="81"/>
      <c r="AF62" s="117"/>
    </row>
    <row r="63" spans="2:32" ht="15.75" x14ac:dyDescent="0.3">
      <c r="B63" s="99" t="s">
        <v>39</v>
      </c>
      <c r="C63" s="207">
        <f t="shared" ref="C63:AC63" si="16">C21*C49</f>
        <v>5023.0934999999999</v>
      </c>
      <c r="D63" s="196">
        <f t="shared" si="16"/>
        <v>5141.6819999999998</v>
      </c>
      <c r="E63" s="196">
        <f t="shared" si="16"/>
        <v>5217.2739562500001</v>
      </c>
      <c r="F63" s="196">
        <f t="shared" si="16"/>
        <v>5280.5389500000001</v>
      </c>
      <c r="G63" s="196">
        <f t="shared" si="16"/>
        <v>5374.5967124999997</v>
      </c>
      <c r="H63" s="196">
        <f t="shared" si="16"/>
        <v>5448.9091612499997</v>
      </c>
      <c r="I63" s="196">
        <f t="shared" si="16"/>
        <v>5484.8823749999992</v>
      </c>
      <c r="J63" s="196">
        <f t="shared" si="16"/>
        <v>5520.26593125</v>
      </c>
      <c r="K63" s="196">
        <f t="shared" si="16"/>
        <v>5564.2972499999996</v>
      </c>
      <c r="L63" s="196">
        <f t="shared" si="16"/>
        <v>5603.3756100000001</v>
      </c>
      <c r="M63" s="196">
        <f t="shared" si="16"/>
        <v>5648.0532525000008</v>
      </c>
      <c r="N63" s="196">
        <f t="shared" si="16"/>
        <v>5725.5455812499995</v>
      </c>
      <c r="O63" s="196">
        <f t="shared" si="16"/>
        <v>5789.221199999999</v>
      </c>
      <c r="P63" s="196">
        <f t="shared" si="16"/>
        <v>5856.3460687499992</v>
      </c>
      <c r="Q63" s="196">
        <f t="shared" si="16"/>
        <v>5913.4631849999996</v>
      </c>
      <c r="R63" s="196">
        <f t="shared" si="16"/>
        <v>5963.0699699999996</v>
      </c>
      <c r="S63" s="196">
        <f t="shared" si="16"/>
        <v>6014.5902675000007</v>
      </c>
      <c r="T63" s="196">
        <f t="shared" si="16"/>
        <v>6069.3906374999997</v>
      </c>
      <c r="U63" s="196">
        <f t="shared" si="16"/>
        <v>6149.01164625</v>
      </c>
      <c r="V63" s="196">
        <f t="shared" si="16"/>
        <v>6227.1872549999998</v>
      </c>
      <c r="W63" s="196">
        <f t="shared" si="16"/>
        <v>6288.6528900000003</v>
      </c>
      <c r="X63" s="196">
        <f t="shared" si="16"/>
        <v>6322.2912900000001</v>
      </c>
      <c r="Y63" s="196">
        <f t="shared" si="16"/>
        <v>6390.2127712499996</v>
      </c>
      <c r="Z63" s="196">
        <f t="shared" si="16"/>
        <v>6463.7277862499996</v>
      </c>
      <c r="AA63" s="196">
        <f t="shared" si="16"/>
        <v>6543.6354112499994</v>
      </c>
      <c r="AB63" s="196">
        <f t="shared" si="16"/>
        <v>6617.9495024999997</v>
      </c>
      <c r="AC63" s="196">
        <f t="shared" si="16"/>
        <v>6690.6654412499993</v>
      </c>
      <c r="AD63" s="196">
        <f t="shared" ref="AD63:AF63" si="17">AD21*AD49</f>
        <v>6753.7924649999995</v>
      </c>
      <c r="AE63" s="196">
        <f t="shared" si="17"/>
        <v>6803.3351924999997</v>
      </c>
      <c r="AF63" s="197">
        <f t="shared" si="17"/>
        <v>6852.0788437499996</v>
      </c>
    </row>
    <row r="64" spans="2:32" x14ac:dyDescent="0.2">
      <c r="B64" s="97" t="s">
        <v>92</v>
      </c>
      <c r="C64" s="89"/>
      <c r="D64" s="90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0"/>
      <c r="X64" s="90"/>
      <c r="Y64" s="90"/>
      <c r="Z64" s="90"/>
      <c r="AA64" s="90"/>
      <c r="AB64" s="90"/>
      <c r="AC64" s="90"/>
      <c r="AD64" s="90"/>
      <c r="AE64" s="90"/>
      <c r="AF64" s="98"/>
    </row>
    <row r="65" spans="2:32" ht="16.5" thickBot="1" x14ac:dyDescent="0.35">
      <c r="B65" s="102" t="s">
        <v>39</v>
      </c>
      <c r="C65" s="246">
        <v>0</v>
      </c>
      <c r="D65" s="247">
        <v>0</v>
      </c>
      <c r="E65" s="247">
        <v>0</v>
      </c>
      <c r="F65" s="247">
        <v>0</v>
      </c>
      <c r="G65" s="247">
        <v>0</v>
      </c>
      <c r="H65" s="247">
        <v>0</v>
      </c>
      <c r="I65" s="247">
        <v>0</v>
      </c>
      <c r="J65" s="247">
        <v>0</v>
      </c>
      <c r="K65" s="247">
        <v>0</v>
      </c>
      <c r="L65" s="247">
        <v>0</v>
      </c>
      <c r="M65" s="247">
        <v>0</v>
      </c>
      <c r="N65" s="247">
        <v>0</v>
      </c>
      <c r="O65" s="247">
        <v>0</v>
      </c>
      <c r="P65" s="247">
        <v>0</v>
      </c>
      <c r="Q65" s="247">
        <v>0</v>
      </c>
      <c r="R65" s="247">
        <v>0</v>
      </c>
      <c r="S65" s="247">
        <v>0</v>
      </c>
      <c r="T65" s="247">
        <v>0</v>
      </c>
      <c r="U65" s="247">
        <v>0</v>
      </c>
      <c r="V65" s="247">
        <v>0</v>
      </c>
      <c r="W65" s="247">
        <v>0</v>
      </c>
      <c r="X65" s="247">
        <v>0</v>
      </c>
      <c r="Y65" s="247">
        <v>0</v>
      </c>
      <c r="Z65" s="247">
        <v>0</v>
      </c>
      <c r="AA65" s="247">
        <v>0</v>
      </c>
      <c r="AB65" s="247">
        <v>0</v>
      </c>
      <c r="AC65" s="247">
        <v>0</v>
      </c>
      <c r="AD65" s="247">
        <v>0</v>
      </c>
      <c r="AE65" s="247">
        <v>0</v>
      </c>
      <c r="AF65" s="248">
        <v>0</v>
      </c>
    </row>
    <row r="66" spans="2:32" x14ac:dyDescent="0.2">
      <c r="B66" s="143" t="s">
        <v>78</v>
      </c>
      <c r="C66" s="44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213"/>
    </row>
    <row r="67" spans="2:32" ht="15.75" x14ac:dyDescent="0.3">
      <c r="B67" s="145" t="s">
        <v>39</v>
      </c>
      <c r="C67" s="56">
        <v>0</v>
      </c>
      <c r="D67" s="57">
        <v>0</v>
      </c>
      <c r="E67" s="57">
        <v>0</v>
      </c>
      <c r="F67" s="57">
        <v>0</v>
      </c>
      <c r="G67" s="57">
        <v>0</v>
      </c>
      <c r="H67" s="57">
        <v>0</v>
      </c>
      <c r="I67" s="57">
        <v>0</v>
      </c>
      <c r="J67" s="57">
        <v>0</v>
      </c>
      <c r="K67" s="57">
        <v>0</v>
      </c>
      <c r="L67" s="57">
        <v>0</v>
      </c>
      <c r="M67" s="57">
        <v>0</v>
      </c>
      <c r="N67" s="57">
        <v>0</v>
      </c>
      <c r="O67" s="57">
        <v>0</v>
      </c>
      <c r="P67" s="57">
        <v>0</v>
      </c>
      <c r="Q67" s="57">
        <v>0</v>
      </c>
      <c r="R67" s="57">
        <v>0</v>
      </c>
      <c r="S67" s="57">
        <v>0</v>
      </c>
      <c r="T67" s="57">
        <v>0</v>
      </c>
      <c r="U67" s="57">
        <v>0</v>
      </c>
      <c r="V67" s="57">
        <v>0</v>
      </c>
      <c r="W67" s="57">
        <v>0</v>
      </c>
      <c r="X67" s="57">
        <v>0</v>
      </c>
      <c r="Y67" s="57">
        <v>0</v>
      </c>
      <c r="Z67" s="57">
        <v>0</v>
      </c>
      <c r="AA67" s="57">
        <v>0</v>
      </c>
      <c r="AB67" s="57">
        <v>0</v>
      </c>
      <c r="AC67" s="57">
        <v>0</v>
      </c>
      <c r="AD67" s="57">
        <v>0</v>
      </c>
      <c r="AE67" s="57">
        <v>0</v>
      </c>
      <c r="AF67" s="214">
        <v>0</v>
      </c>
    </row>
    <row r="68" spans="2:32" x14ac:dyDescent="0.2">
      <c r="B68" s="97" t="s">
        <v>79</v>
      </c>
      <c r="C68" s="180"/>
      <c r="D68" s="173"/>
      <c r="E68" s="173"/>
      <c r="F68" s="173"/>
      <c r="G68" s="173"/>
      <c r="H68" s="173"/>
      <c r="I68" s="173"/>
      <c r="J68" s="173"/>
      <c r="K68" s="173"/>
      <c r="L68" s="173"/>
      <c r="M68" s="220"/>
      <c r="N68" s="220"/>
      <c r="O68" s="220"/>
      <c r="P68" s="220"/>
      <c r="Q68" s="220"/>
      <c r="R68" s="220"/>
      <c r="S68" s="220"/>
      <c r="T68" s="220"/>
      <c r="U68" s="220"/>
      <c r="V68" s="220"/>
      <c r="W68" s="220"/>
      <c r="X68" s="220"/>
      <c r="Y68" s="220"/>
      <c r="Z68" s="220"/>
      <c r="AA68" s="220"/>
      <c r="AB68" s="220"/>
      <c r="AC68" s="220"/>
      <c r="AD68" s="220"/>
      <c r="AE68" s="220"/>
      <c r="AF68" s="221"/>
    </row>
    <row r="69" spans="2:32" ht="15.75" x14ac:dyDescent="0.3">
      <c r="B69" s="96" t="s">
        <v>39</v>
      </c>
      <c r="C69" s="183">
        <f t="shared" ref="C69:AC69" si="18">C26*C54/1000</f>
        <v>0</v>
      </c>
      <c r="D69" s="184">
        <f t="shared" si="18"/>
        <v>0</v>
      </c>
      <c r="E69" s="184">
        <f t="shared" si="18"/>
        <v>0</v>
      </c>
      <c r="F69" s="184">
        <f t="shared" si="18"/>
        <v>0</v>
      </c>
      <c r="G69" s="184">
        <f t="shared" si="18"/>
        <v>0</v>
      </c>
      <c r="H69" s="184">
        <f t="shared" si="18"/>
        <v>0</v>
      </c>
      <c r="I69" s="184">
        <f t="shared" si="18"/>
        <v>0</v>
      </c>
      <c r="J69" s="184">
        <f t="shared" si="18"/>
        <v>0</v>
      </c>
      <c r="K69" s="184">
        <f t="shared" si="18"/>
        <v>0</v>
      </c>
      <c r="L69" s="184">
        <f t="shared" si="18"/>
        <v>0</v>
      </c>
      <c r="M69" s="222">
        <f t="shared" si="18"/>
        <v>0</v>
      </c>
      <c r="N69" s="222">
        <f t="shared" si="18"/>
        <v>0</v>
      </c>
      <c r="O69" s="222">
        <f t="shared" si="18"/>
        <v>0</v>
      </c>
      <c r="P69" s="222">
        <f t="shared" si="18"/>
        <v>0</v>
      </c>
      <c r="Q69" s="222">
        <f t="shared" si="18"/>
        <v>0</v>
      </c>
      <c r="R69" s="222">
        <f t="shared" si="18"/>
        <v>0</v>
      </c>
      <c r="S69" s="222">
        <f t="shared" si="18"/>
        <v>0</v>
      </c>
      <c r="T69" s="222">
        <f t="shared" si="18"/>
        <v>0</v>
      </c>
      <c r="U69" s="222">
        <f t="shared" si="18"/>
        <v>0</v>
      </c>
      <c r="V69" s="222">
        <f t="shared" si="18"/>
        <v>0</v>
      </c>
      <c r="W69" s="222">
        <f t="shared" si="18"/>
        <v>0</v>
      </c>
      <c r="X69" s="222">
        <f t="shared" si="18"/>
        <v>0</v>
      </c>
      <c r="Y69" s="222">
        <f t="shared" si="18"/>
        <v>0</v>
      </c>
      <c r="Z69" s="222">
        <f t="shared" si="18"/>
        <v>0</v>
      </c>
      <c r="AA69" s="222">
        <f t="shared" si="18"/>
        <v>0</v>
      </c>
      <c r="AB69" s="222">
        <f t="shared" si="18"/>
        <v>0</v>
      </c>
      <c r="AC69" s="222">
        <f t="shared" si="18"/>
        <v>0</v>
      </c>
      <c r="AD69" s="222">
        <f t="shared" ref="AD69:AF69" si="19">AD26*AD54/1000</f>
        <v>0</v>
      </c>
      <c r="AE69" s="222">
        <f t="shared" si="19"/>
        <v>0</v>
      </c>
      <c r="AF69" s="223">
        <f t="shared" si="19"/>
        <v>0</v>
      </c>
    </row>
    <row r="70" spans="2:32" x14ac:dyDescent="0.2">
      <c r="B70" s="97" t="s">
        <v>80</v>
      </c>
      <c r="C70" s="55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146"/>
    </row>
    <row r="71" spans="2:32" ht="15.75" x14ac:dyDescent="0.3">
      <c r="B71" s="99" t="s">
        <v>39</v>
      </c>
      <c r="C71" s="62">
        <f t="shared" ref="C71:AC71" si="20">C31*C56/1000</f>
        <v>0</v>
      </c>
      <c r="D71" s="59">
        <f t="shared" si="20"/>
        <v>0</v>
      </c>
      <c r="E71" s="59">
        <f t="shared" si="20"/>
        <v>0</v>
      </c>
      <c r="F71" s="59">
        <f t="shared" si="20"/>
        <v>0</v>
      </c>
      <c r="G71" s="59">
        <f t="shared" si="20"/>
        <v>0</v>
      </c>
      <c r="H71" s="59">
        <f t="shared" si="20"/>
        <v>0</v>
      </c>
      <c r="I71" s="59">
        <f t="shared" si="20"/>
        <v>0</v>
      </c>
      <c r="J71" s="59">
        <f t="shared" si="20"/>
        <v>0</v>
      </c>
      <c r="K71" s="59">
        <f t="shared" si="20"/>
        <v>0</v>
      </c>
      <c r="L71" s="59">
        <f t="shared" si="20"/>
        <v>0</v>
      </c>
      <c r="M71" s="59">
        <f t="shared" si="20"/>
        <v>0</v>
      </c>
      <c r="N71" s="59">
        <f t="shared" si="20"/>
        <v>0</v>
      </c>
      <c r="O71" s="59">
        <f t="shared" si="20"/>
        <v>0</v>
      </c>
      <c r="P71" s="59">
        <f t="shared" si="20"/>
        <v>0</v>
      </c>
      <c r="Q71" s="59">
        <f t="shared" si="20"/>
        <v>0</v>
      </c>
      <c r="R71" s="59">
        <f t="shared" si="20"/>
        <v>5.4300642035678113</v>
      </c>
      <c r="S71" s="59">
        <f t="shared" si="20"/>
        <v>5.8997722366037033</v>
      </c>
      <c r="T71" s="59">
        <f t="shared" si="20"/>
        <v>10.596104624234872</v>
      </c>
      <c r="U71" s="59">
        <f t="shared" si="20"/>
        <v>33.465891819489592</v>
      </c>
      <c r="V71" s="59">
        <f t="shared" si="20"/>
        <v>32.40930992675937</v>
      </c>
      <c r="W71" s="59">
        <f t="shared" si="20"/>
        <v>54.113204596329489</v>
      </c>
      <c r="X71" s="59">
        <f t="shared" si="20"/>
        <v>73.482782278808415</v>
      </c>
      <c r="Y71" s="59">
        <f t="shared" si="20"/>
        <v>50.531206349564314</v>
      </c>
      <c r="Z71" s="59">
        <f t="shared" si="20"/>
        <v>95.573159524239287</v>
      </c>
      <c r="AA71" s="59">
        <f t="shared" si="20"/>
        <v>164.78079832890811</v>
      </c>
      <c r="AB71" s="59">
        <f t="shared" si="20"/>
        <v>206.14856221016504</v>
      </c>
      <c r="AC71" s="59">
        <f t="shared" si="20"/>
        <v>262.45609494335525</v>
      </c>
      <c r="AD71" s="59">
        <f t="shared" ref="AD71:AF71" si="21">AD31*AD56/1000</f>
        <v>262.4692538433552</v>
      </c>
      <c r="AE71" s="59">
        <f t="shared" si="21"/>
        <v>262.48241274335527</v>
      </c>
      <c r="AF71" s="215">
        <f t="shared" si="21"/>
        <v>262.49557164335522</v>
      </c>
    </row>
    <row r="72" spans="2:32" x14ac:dyDescent="0.2">
      <c r="B72" s="97" t="s">
        <v>81</v>
      </c>
      <c r="C72" s="176"/>
      <c r="D72" s="176"/>
      <c r="E72" s="177"/>
      <c r="F72" s="177"/>
      <c r="G72" s="177"/>
      <c r="H72" s="177"/>
      <c r="I72" s="177"/>
      <c r="J72" s="177"/>
      <c r="K72" s="177"/>
      <c r="L72" s="177"/>
      <c r="M72" s="177"/>
      <c r="N72" s="177"/>
      <c r="O72" s="177"/>
      <c r="P72" s="177"/>
      <c r="Q72" s="177"/>
      <c r="R72" s="177"/>
      <c r="S72" s="177"/>
      <c r="T72" s="177"/>
      <c r="U72" s="177"/>
      <c r="V72" s="177"/>
      <c r="W72" s="177"/>
      <c r="X72" s="177"/>
      <c r="Y72" s="177"/>
      <c r="Z72" s="177"/>
      <c r="AA72" s="177"/>
      <c r="AB72" s="177"/>
      <c r="AC72" s="177"/>
      <c r="AD72" s="177"/>
      <c r="AE72" s="177"/>
      <c r="AF72" s="178"/>
    </row>
    <row r="73" spans="2:32" ht="15.75" x14ac:dyDescent="0.3">
      <c r="B73" s="96" t="s">
        <v>39</v>
      </c>
      <c r="C73" s="184">
        <f t="shared" ref="C73:AC73" si="22">C37*C58/1000</f>
        <v>1.5335999999999999</v>
      </c>
      <c r="D73" s="184">
        <f t="shared" si="22"/>
        <v>1.4812327821496556</v>
      </c>
      <c r="E73" s="184">
        <f t="shared" si="22"/>
        <v>1.4131339176557614</v>
      </c>
      <c r="F73" s="184">
        <f t="shared" si="22"/>
        <v>1.3393041854530336</v>
      </c>
      <c r="G73" s="184">
        <f t="shared" si="22"/>
        <v>1.2705743007754666</v>
      </c>
      <c r="H73" s="184">
        <f t="shared" si="22"/>
        <v>1.191726964847331</v>
      </c>
      <c r="I73" s="184">
        <f t="shared" si="22"/>
        <v>1.1076750019182648</v>
      </c>
      <c r="J73" s="184">
        <f t="shared" si="22"/>
        <v>1.0197255775749234</v>
      </c>
      <c r="K73" s="184">
        <f t="shared" si="22"/>
        <v>0.93200555792755446</v>
      </c>
      <c r="L73" s="184">
        <f t="shared" si="22"/>
        <v>0.8429087163230522</v>
      </c>
      <c r="M73" s="184">
        <f t="shared" si="22"/>
        <v>0.75144149819382866</v>
      </c>
      <c r="N73" s="184">
        <f t="shared" si="22"/>
        <v>0.66312000000000004</v>
      </c>
      <c r="O73" s="184">
        <f t="shared" si="22"/>
        <v>0.5707664439640292</v>
      </c>
      <c r="P73" s="184">
        <f t="shared" si="22"/>
        <v>0.47649971221782417</v>
      </c>
      <c r="Q73" s="184">
        <f t="shared" si="22"/>
        <v>0.37927844178852721</v>
      </c>
      <c r="R73" s="184">
        <f t="shared" si="22"/>
        <v>0.27944800337466363</v>
      </c>
      <c r="S73" s="184">
        <f t="shared" si="22"/>
        <v>0.23171152682776353</v>
      </c>
      <c r="T73" s="184">
        <f t="shared" si="22"/>
        <v>0.23440499245573268</v>
      </c>
      <c r="U73" s="184">
        <f t="shared" si="22"/>
        <v>0.24072267857275062</v>
      </c>
      <c r="V73" s="184">
        <f t="shared" si="22"/>
        <v>0.24083247853573264</v>
      </c>
      <c r="W73" s="184">
        <f t="shared" si="22"/>
        <v>0.25292281567095115</v>
      </c>
      <c r="X73" s="184">
        <f t="shared" si="22"/>
        <v>0.26708821161131108</v>
      </c>
      <c r="Y73" s="184">
        <f t="shared" si="22"/>
        <v>0.26238743427559669</v>
      </c>
      <c r="Z73" s="184">
        <f t="shared" si="22"/>
        <v>0.26731696016452444</v>
      </c>
      <c r="AA73" s="184">
        <f t="shared" si="22"/>
        <v>0.28554941866118255</v>
      </c>
      <c r="AB73" s="184">
        <f t="shared" si="22"/>
        <v>0.28820818653778918</v>
      </c>
      <c r="AC73" s="184">
        <f t="shared" si="22"/>
        <v>0.29874410282776354</v>
      </c>
      <c r="AD73" s="184">
        <f t="shared" ref="AD73:AF73" si="23">AD37*AD58/1000</f>
        <v>0.3481512802056555</v>
      </c>
      <c r="AE73" s="184">
        <f t="shared" si="23"/>
        <v>0.38967806683804623</v>
      </c>
      <c r="AF73" s="185">
        <f t="shared" si="23"/>
        <v>0.43641550642673527</v>
      </c>
    </row>
    <row r="74" spans="2:32" x14ac:dyDescent="0.2">
      <c r="B74" s="97" t="s">
        <v>94</v>
      </c>
      <c r="C74" s="3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152"/>
    </row>
    <row r="75" spans="2:32" ht="15.75" x14ac:dyDescent="0.3">
      <c r="B75" s="99" t="s">
        <v>39</v>
      </c>
      <c r="C75" s="37">
        <f t="shared" ref="C75:AC75" si="24">C40*C60/1000</f>
        <v>190.10350446274404</v>
      </c>
      <c r="D75" s="39">
        <f t="shared" si="24"/>
        <v>194.59159321501991</v>
      </c>
      <c r="E75" s="47">
        <f t="shared" si="24"/>
        <v>197.45243898512535</v>
      </c>
      <c r="F75" s="47">
        <f t="shared" si="24"/>
        <v>199.84675974019171</v>
      </c>
      <c r="G75" s="47">
        <f t="shared" si="24"/>
        <v>203.40646060444485</v>
      </c>
      <c r="H75" s="47">
        <f t="shared" si="24"/>
        <v>205.77871388711426</v>
      </c>
      <c r="I75" s="47">
        <f t="shared" si="24"/>
        <v>207.58032098216736</v>
      </c>
      <c r="J75" s="47">
        <f t="shared" si="24"/>
        <v>208.91944358529622</v>
      </c>
      <c r="K75" s="47">
        <f t="shared" si="24"/>
        <v>210.58584856073438</v>
      </c>
      <c r="L75" s="47">
        <f t="shared" si="24"/>
        <v>212.28756149200763</v>
      </c>
      <c r="M75" s="47">
        <f t="shared" si="24"/>
        <v>213.7556700253439</v>
      </c>
      <c r="N75" s="47">
        <f t="shared" si="24"/>
        <v>216.68843710689515</v>
      </c>
      <c r="O75" s="47">
        <f t="shared" si="24"/>
        <v>219.09829833548039</v>
      </c>
      <c r="P75" s="47">
        <f t="shared" si="24"/>
        <v>221.6386995416249</v>
      </c>
      <c r="Q75" s="47">
        <f t="shared" si="24"/>
        <v>223.80034832716532</v>
      </c>
      <c r="R75" s="47">
        <f t="shared" si="24"/>
        <v>225.44462366831198</v>
      </c>
      <c r="S75" s="47">
        <f t="shared" si="24"/>
        <v>288.84491904992677</v>
      </c>
      <c r="T75" s="47">
        <f t="shared" si="24"/>
        <v>292.20251576479723</v>
      </c>
      <c r="U75" s="47">
        <f t="shared" si="24"/>
        <v>300.07796141066416</v>
      </c>
      <c r="V75" s="47">
        <f t="shared" si="24"/>
        <v>300.21483488369944</v>
      </c>
      <c r="W75" s="39">
        <f t="shared" si="24"/>
        <v>315.2863011112056</v>
      </c>
      <c r="X75" s="39">
        <f t="shared" si="24"/>
        <v>332.94447591035919</v>
      </c>
      <c r="Y75" s="39">
        <f t="shared" si="24"/>
        <v>327.08462220521551</v>
      </c>
      <c r="Z75" s="39">
        <f t="shared" si="24"/>
        <v>333.22962727179674</v>
      </c>
      <c r="AA75" s="39">
        <f t="shared" si="24"/>
        <v>355.95768517485891</v>
      </c>
      <c r="AB75" s="39">
        <f t="shared" si="24"/>
        <v>359.27202867172707</v>
      </c>
      <c r="AC75" s="39">
        <f t="shared" si="24"/>
        <v>372.40579862075748</v>
      </c>
      <c r="AD75" s="39">
        <f t="shared" ref="AD75:AF75" si="25">AD40*AD60/1000</f>
        <v>372.01467694944358</v>
      </c>
      <c r="AE75" s="39">
        <f t="shared" si="25"/>
        <v>364.35762764465778</v>
      </c>
      <c r="AF75" s="152">
        <f t="shared" si="25"/>
        <v>362.73655673318132</v>
      </c>
    </row>
    <row r="76" spans="2:32" ht="14.25" x14ac:dyDescent="0.25">
      <c r="B76" s="156" t="s">
        <v>47</v>
      </c>
      <c r="C76" s="16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101"/>
    </row>
    <row r="77" spans="2:32" ht="16.5" thickBot="1" x14ac:dyDescent="0.35">
      <c r="B77" s="238" t="s">
        <v>39</v>
      </c>
      <c r="C77" s="229">
        <f t="shared" ref="C77:AC77" si="26">C67+C69+C73+C71+C75</f>
        <v>191.63710446274405</v>
      </c>
      <c r="D77" s="230">
        <f t="shared" si="26"/>
        <v>196.07282599716956</v>
      </c>
      <c r="E77" s="231">
        <f t="shared" si="26"/>
        <v>198.86557290278111</v>
      </c>
      <c r="F77" s="231">
        <f t="shared" si="26"/>
        <v>201.18606392564476</v>
      </c>
      <c r="G77" s="231">
        <f t="shared" si="26"/>
        <v>204.67703490522032</v>
      </c>
      <c r="H77" s="231">
        <f t="shared" si="26"/>
        <v>206.9704408519616</v>
      </c>
      <c r="I77" s="231">
        <f t="shared" si="26"/>
        <v>208.68799598408563</v>
      </c>
      <c r="J77" s="231">
        <f t="shared" si="26"/>
        <v>209.93916916287114</v>
      </c>
      <c r="K77" s="231">
        <f t="shared" si="26"/>
        <v>211.51785411866194</v>
      </c>
      <c r="L77" s="231">
        <f t="shared" si="26"/>
        <v>213.13047020833068</v>
      </c>
      <c r="M77" s="231">
        <f t="shared" si="26"/>
        <v>214.50711152353773</v>
      </c>
      <c r="N77" s="231">
        <f t="shared" si="26"/>
        <v>217.35155710689514</v>
      </c>
      <c r="O77" s="231">
        <f t="shared" si="26"/>
        <v>219.66906477944443</v>
      </c>
      <c r="P77" s="231">
        <f t="shared" si="26"/>
        <v>222.11519925384272</v>
      </c>
      <c r="Q77" s="231">
        <f t="shared" si="26"/>
        <v>224.17962676895385</v>
      </c>
      <c r="R77" s="231">
        <f t="shared" si="26"/>
        <v>231.15413587525444</v>
      </c>
      <c r="S77" s="231">
        <f t="shared" si="26"/>
        <v>294.97640281335822</v>
      </c>
      <c r="T77" s="231">
        <f t="shared" si="26"/>
        <v>303.03302538148785</v>
      </c>
      <c r="U77" s="231">
        <f t="shared" si="26"/>
        <v>333.78457590872648</v>
      </c>
      <c r="V77" s="231">
        <f t="shared" si="26"/>
        <v>332.86497728899451</v>
      </c>
      <c r="W77" s="230">
        <f t="shared" si="26"/>
        <v>369.65242852320603</v>
      </c>
      <c r="X77" s="230">
        <f t="shared" si="26"/>
        <v>406.6943464007789</v>
      </c>
      <c r="Y77" s="230">
        <f t="shared" si="26"/>
        <v>377.87821598905543</v>
      </c>
      <c r="Z77" s="230">
        <f t="shared" si="26"/>
        <v>429.07010375620052</v>
      </c>
      <c r="AA77" s="230">
        <f t="shared" si="26"/>
        <v>521.0240329224282</v>
      </c>
      <c r="AB77" s="230">
        <f t="shared" si="26"/>
        <v>565.70879906842993</v>
      </c>
      <c r="AC77" s="230">
        <f t="shared" si="26"/>
        <v>635.16063766694049</v>
      </c>
      <c r="AD77" s="230">
        <f t="shared" ref="AD77:AF77" si="27">AD67+AD69+AD73+AD71+AD75</f>
        <v>634.83208207300436</v>
      </c>
      <c r="AE77" s="230">
        <f t="shared" si="27"/>
        <v>627.22971845485108</v>
      </c>
      <c r="AF77" s="232">
        <f t="shared" si="27"/>
        <v>625.66854388296326</v>
      </c>
    </row>
    <row r="78" spans="2:32" ht="14.25" x14ac:dyDescent="0.25">
      <c r="B78" s="189" t="s">
        <v>101</v>
      </c>
      <c r="C78" s="208"/>
      <c r="D78" s="208"/>
      <c r="E78" s="209"/>
      <c r="F78" s="209"/>
      <c r="G78" s="209"/>
      <c r="H78" s="209"/>
      <c r="I78" s="209"/>
      <c r="J78" s="209"/>
      <c r="K78" s="209"/>
      <c r="L78" s="209"/>
      <c r="M78" s="209"/>
      <c r="N78" s="209"/>
      <c r="O78" s="209"/>
      <c r="P78" s="209"/>
      <c r="Q78" s="209"/>
      <c r="R78" s="209"/>
      <c r="S78" s="209"/>
      <c r="T78" s="209"/>
      <c r="U78" s="209"/>
      <c r="V78" s="209"/>
      <c r="W78" s="208"/>
      <c r="X78" s="208"/>
      <c r="Y78" s="208"/>
      <c r="Z78" s="208"/>
      <c r="AA78" s="208"/>
      <c r="AB78" s="208"/>
      <c r="AC78" s="208"/>
      <c r="AD78" s="208"/>
      <c r="AE78" s="208"/>
      <c r="AF78" s="210"/>
    </row>
    <row r="79" spans="2:32" ht="15.75" x14ac:dyDescent="0.3">
      <c r="B79" s="99" t="s">
        <v>49</v>
      </c>
      <c r="C79" s="74">
        <f t="shared" ref="C79:AC79" si="28">C77+C63</f>
        <v>5214.7306044627439</v>
      </c>
      <c r="D79" s="75">
        <f t="shared" si="28"/>
        <v>5337.7548259971691</v>
      </c>
      <c r="E79" s="76">
        <f t="shared" si="28"/>
        <v>5416.1395291527815</v>
      </c>
      <c r="F79" s="76">
        <f t="shared" si="28"/>
        <v>5481.7250139256448</v>
      </c>
      <c r="G79" s="76">
        <f t="shared" si="28"/>
        <v>5579.2737474052201</v>
      </c>
      <c r="H79" s="76">
        <f t="shared" si="28"/>
        <v>5655.8796021019616</v>
      </c>
      <c r="I79" s="76">
        <f t="shared" si="28"/>
        <v>5693.5703709840845</v>
      </c>
      <c r="J79" s="76">
        <f t="shared" si="28"/>
        <v>5730.2051004128707</v>
      </c>
      <c r="K79" s="76">
        <f t="shared" si="28"/>
        <v>5775.8151041186611</v>
      </c>
      <c r="L79" s="76">
        <f t="shared" si="28"/>
        <v>5816.5060802083308</v>
      </c>
      <c r="M79" s="76">
        <f t="shared" si="28"/>
        <v>5862.5603640235386</v>
      </c>
      <c r="N79" s="76">
        <f t="shared" si="28"/>
        <v>5942.8971383568951</v>
      </c>
      <c r="O79" s="76">
        <f t="shared" si="28"/>
        <v>6008.8902647794439</v>
      </c>
      <c r="P79" s="76">
        <f t="shared" si="28"/>
        <v>6078.4612680038417</v>
      </c>
      <c r="Q79" s="76">
        <f t="shared" si="28"/>
        <v>6137.6428117689538</v>
      </c>
      <c r="R79" s="76">
        <f t="shared" si="28"/>
        <v>6194.2241058752543</v>
      </c>
      <c r="S79" s="76">
        <f t="shared" si="28"/>
        <v>6309.5666703133593</v>
      </c>
      <c r="T79" s="76">
        <f t="shared" si="28"/>
        <v>6372.4236628814879</v>
      </c>
      <c r="U79" s="76">
        <f t="shared" si="28"/>
        <v>6482.7962221587268</v>
      </c>
      <c r="V79" s="76">
        <f t="shared" si="28"/>
        <v>6560.0522322889947</v>
      </c>
      <c r="W79" s="75">
        <f t="shared" si="28"/>
        <v>6658.3053185232066</v>
      </c>
      <c r="X79" s="75">
        <f t="shared" si="28"/>
        <v>6728.9856364007792</v>
      </c>
      <c r="Y79" s="75">
        <f t="shared" si="28"/>
        <v>6768.0909872390548</v>
      </c>
      <c r="Z79" s="75">
        <f t="shared" si="28"/>
        <v>6892.7978900061999</v>
      </c>
      <c r="AA79" s="75">
        <f t="shared" si="28"/>
        <v>7064.6594441724274</v>
      </c>
      <c r="AB79" s="75">
        <f t="shared" si="28"/>
        <v>7183.65830156843</v>
      </c>
      <c r="AC79" s="75">
        <f t="shared" si="28"/>
        <v>7325.8260789169399</v>
      </c>
      <c r="AD79" s="75">
        <f t="shared" ref="AD79:AF79" si="29">AD77+AD63</f>
        <v>7388.6245470730037</v>
      </c>
      <c r="AE79" s="75">
        <f t="shared" si="29"/>
        <v>7430.5649109548503</v>
      </c>
      <c r="AF79" s="192">
        <f t="shared" si="29"/>
        <v>7477.7473876329632</v>
      </c>
    </row>
    <row r="80" spans="2:32" ht="15.75" x14ac:dyDescent="0.3">
      <c r="B80" s="99" t="s">
        <v>48</v>
      </c>
      <c r="C80" s="70">
        <f t="shared" ref="C80:AC80" si="30">C79*1000/C5</f>
        <v>0.7673235144883378</v>
      </c>
      <c r="D80" s="15">
        <f t="shared" si="30"/>
        <v>0.77583645726703043</v>
      </c>
      <c r="E80" s="71">
        <f t="shared" si="30"/>
        <v>0.78008635015883365</v>
      </c>
      <c r="F80" s="71">
        <f t="shared" si="30"/>
        <v>0.78433610157757117</v>
      </c>
      <c r="G80" s="71">
        <f t="shared" si="30"/>
        <v>0.79284833699093649</v>
      </c>
      <c r="H80" s="71">
        <f t="shared" si="30"/>
        <v>0.7987402347270105</v>
      </c>
      <c r="I80" s="71">
        <f t="shared" si="30"/>
        <v>0.80134699099001894</v>
      </c>
      <c r="J80" s="71">
        <f t="shared" si="30"/>
        <v>0.8055961057799621</v>
      </c>
      <c r="K80" s="71">
        <f t="shared" si="30"/>
        <v>0.80984507909683978</v>
      </c>
      <c r="L80" s="71">
        <f t="shared" si="30"/>
        <v>0.81156775222664024</v>
      </c>
      <c r="M80" s="71">
        <f t="shared" si="30"/>
        <v>0.81322796005320275</v>
      </c>
      <c r="N80" s="71">
        <f t="shared" si="30"/>
        <v>0.8157717417099376</v>
      </c>
      <c r="O80" s="71">
        <f t="shared" si="30"/>
        <v>0.81831543848283317</v>
      </c>
      <c r="P80" s="71">
        <f t="shared" si="30"/>
        <v>0.82085905037188955</v>
      </c>
      <c r="Q80" s="71">
        <f t="shared" si="30"/>
        <v>0.82340257737710676</v>
      </c>
      <c r="R80" s="71">
        <f t="shared" si="30"/>
        <v>0.82578644259102185</v>
      </c>
      <c r="S80" s="71">
        <f t="shared" si="30"/>
        <v>0.83481961766517054</v>
      </c>
      <c r="T80" s="71">
        <f t="shared" si="30"/>
        <v>0.83638583316465254</v>
      </c>
      <c r="U80" s="71">
        <f t="shared" si="30"/>
        <v>0.8407205579248771</v>
      </c>
      <c r="V80" s="71">
        <f t="shared" si="30"/>
        <v>0.84092452663619988</v>
      </c>
      <c r="W80" s="15">
        <f t="shared" si="30"/>
        <v>0.8451771158318363</v>
      </c>
      <c r="X80" s="15">
        <f t="shared" si="30"/>
        <v>0.85047846769473945</v>
      </c>
      <c r="Y80" s="15">
        <f t="shared" si="30"/>
        <v>0.84632874668488867</v>
      </c>
      <c r="Z80" s="15">
        <f t="shared" si="30"/>
        <v>0.85211990233727275</v>
      </c>
      <c r="AA80" s="15">
        <f t="shared" si="30"/>
        <v>0.86270111664091187</v>
      </c>
      <c r="AB80" s="15">
        <f t="shared" si="30"/>
        <v>0.86738206973779641</v>
      </c>
      <c r="AC80" s="15">
        <f t="shared" si="30"/>
        <v>0.87493444152835775</v>
      </c>
      <c r="AD80" s="15">
        <f t="shared" ref="AD80:AF80" si="31">AD79*1000/AD5</f>
        <v>0.87418652946912023</v>
      </c>
      <c r="AE80" s="15">
        <f t="shared" si="31"/>
        <v>0.87274664211356012</v>
      </c>
      <c r="AF80" s="199">
        <f t="shared" si="31"/>
        <v>0.87204051167731345</v>
      </c>
    </row>
    <row r="81" spans="2:32" ht="13.5" thickBot="1" x14ac:dyDescent="0.25">
      <c r="B81" s="153"/>
      <c r="C81" s="106"/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  <c r="AF81" s="109"/>
    </row>
    <row r="82" spans="2:32" x14ac:dyDescent="0.2">
      <c r="B82" s="9"/>
    </row>
    <row r="83" spans="2:32" x14ac:dyDescent="0.2">
      <c r="B83" s="9"/>
    </row>
    <row r="84" spans="2:32" x14ac:dyDescent="0.2">
      <c r="B84" s="9"/>
    </row>
    <row r="85" spans="2:32" x14ac:dyDescent="0.2">
      <c r="B85" s="9"/>
    </row>
    <row r="86" spans="2:32" x14ac:dyDescent="0.2">
      <c r="B86" s="9"/>
    </row>
    <row r="87" spans="2:32" x14ac:dyDescent="0.2">
      <c r="B87" s="9"/>
    </row>
    <row r="88" spans="2:32" x14ac:dyDescent="0.2">
      <c r="B88" s="9"/>
    </row>
    <row r="89" spans="2:32" x14ac:dyDescent="0.2">
      <c r="B89" s="9"/>
    </row>
    <row r="102" spans="2:2" x14ac:dyDescent="0.2">
      <c r="B102" s="36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B1:AF99"/>
  <sheetViews>
    <sheetView topLeftCell="A4" zoomScale="70" zoomScaleNormal="70" workbookViewId="0"/>
  </sheetViews>
  <sheetFormatPr defaultColWidth="9.140625" defaultRowHeight="12.75" x14ac:dyDescent="0.2"/>
  <cols>
    <col min="1" max="1" width="4.7109375" style="2" customWidth="1"/>
    <col min="2" max="2" width="41" style="2" bestFit="1" customWidth="1"/>
    <col min="3" max="3" width="11.140625" style="2" customWidth="1"/>
    <col min="4" max="4" width="11.7109375" style="2" customWidth="1"/>
    <col min="5" max="5" width="11.42578125" style="2" customWidth="1"/>
    <col min="6" max="6" width="11.140625" style="2" customWidth="1"/>
    <col min="7" max="7" width="10.7109375" style="2" customWidth="1"/>
    <col min="8" max="12" width="9.85546875" style="2" customWidth="1"/>
    <col min="13" max="13" width="10.85546875" style="2" customWidth="1"/>
    <col min="14" max="14" width="10.42578125" style="2" customWidth="1"/>
    <col min="15" max="15" width="10.7109375" style="2" customWidth="1"/>
    <col min="16" max="16" width="11.140625" style="2" customWidth="1"/>
    <col min="17" max="17" width="10.85546875" style="2" customWidth="1"/>
    <col min="18" max="18" width="9.85546875" style="2" customWidth="1"/>
    <col min="19" max="19" width="10.85546875" style="2" customWidth="1"/>
    <col min="20" max="27" width="9.85546875" style="2" customWidth="1"/>
    <col min="28" max="28" width="10.28515625" style="2" customWidth="1"/>
    <col min="29" max="30" width="11.140625" style="2" bestFit="1" customWidth="1"/>
    <col min="31" max="31" width="10.28515625" style="2" customWidth="1"/>
    <col min="32" max="32" width="10.85546875" style="2" customWidth="1"/>
    <col min="33" max="16384" width="9.140625" style="2"/>
  </cols>
  <sheetData>
    <row r="1" spans="2:32" ht="13.5" thickBot="1" x14ac:dyDescent="0.25"/>
    <row r="2" spans="2:32" ht="23.25" customHeight="1" thickBot="1" x14ac:dyDescent="0.25">
      <c r="B2" s="121"/>
      <c r="C2" s="122">
        <v>1990</v>
      </c>
      <c r="D2" s="122">
        <v>1991</v>
      </c>
      <c r="E2" s="122">
        <v>1992</v>
      </c>
      <c r="F2" s="122">
        <v>1993</v>
      </c>
      <c r="G2" s="122">
        <v>1994</v>
      </c>
      <c r="H2" s="122">
        <v>1995</v>
      </c>
      <c r="I2" s="122">
        <v>1996</v>
      </c>
      <c r="J2" s="122">
        <v>1997</v>
      </c>
      <c r="K2" s="122">
        <v>1998</v>
      </c>
      <c r="L2" s="122">
        <v>1999</v>
      </c>
      <c r="M2" s="122">
        <v>2000</v>
      </c>
      <c r="N2" s="122">
        <v>2001</v>
      </c>
      <c r="O2" s="122">
        <v>2002</v>
      </c>
      <c r="P2" s="122">
        <v>2003</v>
      </c>
      <c r="Q2" s="122">
        <v>2004</v>
      </c>
      <c r="R2" s="122">
        <v>2005</v>
      </c>
      <c r="S2" s="122">
        <v>2006</v>
      </c>
      <c r="T2" s="122">
        <v>2007</v>
      </c>
      <c r="U2" s="122">
        <v>2008</v>
      </c>
      <c r="V2" s="122">
        <v>2009</v>
      </c>
      <c r="W2" s="122">
        <v>2010</v>
      </c>
      <c r="X2" s="122">
        <v>2011</v>
      </c>
      <c r="Y2" s="122">
        <v>2012</v>
      </c>
      <c r="Z2" s="122">
        <v>2013</v>
      </c>
      <c r="AA2" s="122">
        <v>2014</v>
      </c>
      <c r="AB2" s="122">
        <v>2015</v>
      </c>
      <c r="AC2" s="122">
        <v>2016</v>
      </c>
      <c r="AD2" s="122">
        <v>2017</v>
      </c>
      <c r="AE2" s="122">
        <v>2018</v>
      </c>
      <c r="AF2" s="123">
        <v>2019</v>
      </c>
    </row>
    <row r="3" spans="2:32" ht="19.5" customHeight="1" x14ac:dyDescent="0.2">
      <c r="B3" s="168" t="s">
        <v>75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70"/>
    </row>
    <row r="4" spans="2:32" x14ac:dyDescent="0.2">
      <c r="B4" s="97" t="s">
        <v>8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104"/>
    </row>
    <row r="5" spans="2:32" x14ac:dyDescent="0.2">
      <c r="B5" s="99" t="s">
        <v>9</v>
      </c>
      <c r="C5" s="42">
        <v>6796000</v>
      </c>
      <c r="D5" s="42">
        <v>6880000</v>
      </c>
      <c r="E5" s="42">
        <v>6943000</v>
      </c>
      <c r="F5" s="42">
        <v>6989000</v>
      </c>
      <c r="G5" s="42">
        <v>7037000</v>
      </c>
      <c r="H5" s="42">
        <v>7081000</v>
      </c>
      <c r="I5" s="42">
        <v>7105000</v>
      </c>
      <c r="J5" s="42">
        <v>7113000</v>
      </c>
      <c r="K5" s="42">
        <v>7132000</v>
      </c>
      <c r="L5" s="42">
        <v>7167000</v>
      </c>
      <c r="M5" s="42">
        <v>7209000</v>
      </c>
      <c r="N5" s="42">
        <v>7285000</v>
      </c>
      <c r="O5" s="42">
        <v>7343000</v>
      </c>
      <c r="P5" s="42">
        <v>7405000</v>
      </c>
      <c r="Q5" s="42">
        <v>7454000</v>
      </c>
      <c r="R5" s="42">
        <v>7501000</v>
      </c>
      <c r="S5" s="42">
        <v>7558000</v>
      </c>
      <c r="T5" s="42">
        <v>7619000</v>
      </c>
      <c r="U5" s="42">
        <v>7711000</v>
      </c>
      <c r="V5" s="42">
        <v>7801000</v>
      </c>
      <c r="W5" s="42">
        <v>7878000</v>
      </c>
      <c r="X5" s="42">
        <v>7912000</v>
      </c>
      <c r="Y5" s="42">
        <v>7997000</v>
      </c>
      <c r="Z5" s="42">
        <v>8089000</v>
      </c>
      <c r="AA5" s="42">
        <v>8189000</v>
      </c>
      <c r="AB5" s="42">
        <v>8282000</v>
      </c>
      <c r="AC5" s="42">
        <v>8373000</v>
      </c>
      <c r="AD5" s="42">
        <v>8452000</v>
      </c>
      <c r="AE5" s="42">
        <v>8514000</v>
      </c>
      <c r="AF5" s="110">
        <v>8575000</v>
      </c>
    </row>
    <row r="6" spans="2:32" x14ac:dyDescent="0.2">
      <c r="B6" s="115" t="s">
        <v>119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104"/>
    </row>
    <row r="7" spans="2:32" x14ac:dyDescent="0.2">
      <c r="B7" s="299" t="s">
        <v>126</v>
      </c>
      <c r="C7" s="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101"/>
    </row>
    <row r="8" spans="2:32" x14ac:dyDescent="0.2">
      <c r="B8" s="217" t="s">
        <v>12</v>
      </c>
      <c r="C8" s="303">
        <v>0.9</v>
      </c>
      <c r="D8" s="30">
        <v>0.91</v>
      </c>
      <c r="E8" s="30">
        <v>0.91500000000000004</v>
      </c>
      <c r="F8" s="30">
        <v>0.92</v>
      </c>
      <c r="G8" s="30">
        <v>0.93</v>
      </c>
      <c r="H8" s="30">
        <v>0.93500000000000005</v>
      </c>
      <c r="I8" s="30">
        <v>0.94</v>
      </c>
      <c r="J8" s="30">
        <v>0.94499999999999995</v>
      </c>
      <c r="K8" s="30">
        <v>0.95</v>
      </c>
      <c r="L8" s="30">
        <v>0.95299999999999996</v>
      </c>
      <c r="M8" s="30">
        <v>0.95400000000000007</v>
      </c>
      <c r="N8" s="30">
        <v>0.95700000000000007</v>
      </c>
      <c r="O8" s="30">
        <v>0.96</v>
      </c>
      <c r="P8" s="30">
        <v>0.96299999999999997</v>
      </c>
      <c r="Q8" s="30">
        <v>0.96599999999999997</v>
      </c>
      <c r="R8" s="30">
        <v>0.96799999999999997</v>
      </c>
      <c r="S8" s="30">
        <v>0.97</v>
      </c>
      <c r="T8" s="30">
        <v>0.97</v>
      </c>
      <c r="U8" s="30">
        <v>0.97</v>
      </c>
      <c r="V8" s="30">
        <v>0.97</v>
      </c>
      <c r="W8" s="30">
        <v>0.97</v>
      </c>
      <c r="X8" s="30">
        <v>0.97</v>
      </c>
      <c r="Y8" s="30">
        <v>0.97</v>
      </c>
      <c r="Z8" s="30">
        <v>0.97</v>
      </c>
      <c r="AA8" s="30">
        <v>0.97</v>
      </c>
      <c r="AB8" s="30">
        <v>0.97</v>
      </c>
      <c r="AC8" s="30">
        <v>0.97</v>
      </c>
      <c r="AD8" s="30">
        <v>0.97</v>
      </c>
      <c r="AE8" s="30">
        <v>0.97</v>
      </c>
      <c r="AF8" s="253">
        <v>0.97</v>
      </c>
    </row>
    <row r="9" spans="2:32" x14ac:dyDescent="0.2">
      <c r="B9" s="115" t="s">
        <v>119</v>
      </c>
      <c r="C9" s="300"/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301"/>
      <c r="P9" s="301"/>
      <c r="Q9" s="301"/>
      <c r="R9" s="301"/>
      <c r="S9" s="301"/>
      <c r="T9" s="301"/>
      <c r="U9" s="301"/>
      <c r="V9" s="301"/>
      <c r="W9" s="301"/>
      <c r="X9" s="301"/>
      <c r="Y9" s="301"/>
      <c r="Z9" s="301"/>
      <c r="AA9" s="301"/>
      <c r="AB9" s="301"/>
      <c r="AC9" s="301"/>
      <c r="AD9" s="301"/>
      <c r="AE9" s="301"/>
      <c r="AF9" s="302"/>
    </row>
    <row r="10" spans="2:32" x14ac:dyDescent="0.2">
      <c r="B10" s="97" t="s">
        <v>55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101"/>
    </row>
    <row r="11" spans="2:32" x14ac:dyDescent="0.2">
      <c r="B11" s="99" t="s">
        <v>56</v>
      </c>
      <c r="C11" s="29">
        <v>120</v>
      </c>
      <c r="D11" s="29">
        <v>120</v>
      </c>
      <c r="E11" s="29">
        <v>120</v>
      </c>
      <c r="F11" s="29">
        <v>120</v>
      </c>
      <c r="G11" s="29">
        <v>120</v>
      </c>
      <c r="H11" s="29">
        <v>120</v>
      </c>
      <c r="I11" s="29">
        <v>120</v>
      </c>
      <c r="J11" s="29">
        <v>120</v>
      </c>
      <c r="K11" s="29">
        <v>120</v>
      </c>
      <c r="L11" s="29">
        <v>120</v>
      </c>
      <c r="M11" s="29">
        <v>120</v>
      </c>
      <c r="N11" s="29">
        <v>120</v>
      </c>
      <c r="O11" s="29">
        <v>120</v>
      </c>
      <c r="P11" s="29">
        <v>120</v>
      </c>
      <c r="Q11" s="29">
        <v>120</v>
      </c>
      <c r="R11" s="29">
        <v>120</v>
      </c>
      <c r="S11" s="29">
        <v>120</v>
      </c>
      <c r="T11" s="29">
        <v>120</v>
      </c>
      <c r="U11" s="29">
        <v>120</v>
      </c>
      <c r="V11" s="29">
        <v>120</v>
      </c>
      <c r="W11" s="29">
        <v>120</v>
      </c>
      <c r="X11" s="29">
        <v>120</v>
      </c>
      <c r="Y11" s="29">
        <v>120</v>
      </c>
      <c r="Z11" s="29">
        <v>120</v>
      </c>
      <c r="AA11" s="29">
        <v>120</v>
      </c>
      <c r="AB11" s="29">
        <v>120</v>
      </c>
      <c r="AC11" s="29">
        <v>120</v>
      </c>
      <c r="AD11" s="29">
        <v>120</v>
      </c>
      <c r="AE11" s="29">
        <v>120</v>
      </c>
      <c r="AF11" s="139">
        <v>120</v>
      </c>
    </row>
    <row r="12" spans="2:32" x14ac:dyDescent="0.2">
      <c r="B12" s="115" t="s">
        <v>16</v>
      </c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5"/>
    </row>
    <row r="13" spans="2:32" x14ac:dyDescent="0.2">
      <c r="B13" s="156" t="s">
        <v>153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117"/>
    </row>
    <row r="14" spans="2:32" x14ac:dyDescent="0.2">
      <c r="B14" s="141" t="s">
        <v>15</v>
      </c>
      <c r="C14" s="12">
        <v>1.25</v>
      </c>
      <c r="D14" s="12">
        <v>1.25</v>
      </c>
      <c r="E14" s="12">
        <v>1.25</v>
      </c>
      <c r="F14" s="12">
        <v>1.25</v>
      </c>
      <c r="G14" s="12">
        <v>1.25</v>
      </c>
      <c r="H14" s="12">
        <v>1.25</v>
      </c>
      <c r="I14" s="12">
        <v>1.25</v>
      </c>
      <c r="J14" s="12">
        <v>1.25</v>
      </c>
      <c r="K14" s="12">
        <v>1.25</v>
      </c>
      <c r="L14" s="12">
        <v>1.25</v>
      </c>
      <c r="M14" s="12">
        <v>1.25</v>
      </c>
      <c r="N14" s="12">
        <v>1.25</v>
      </c>
      <c r="O14" s="12">
        <v>1.25</v>
      </c>
      <c r="P14" s="12">
        <v>1.25</v>
      </c>
      <c r="Q14" s="12">
        <v>1.25</v>
      </c>
      <c r="R14" s="12">
        <v>1.25</v>
      </c>
      <c r="S14" s="12">
        <v>1.25</v>
      </c>
      <c r="T14" s="12">
        <v>1.25</v>
      </c>
      <c r="U14" s="12">
        <v>1.25</v>
      </c>
      <c r="V14" s="12">
        <v>1.25</v>
      </c>
      <c r="W14" s="12">
        <v>1.25</v>
      </c>
      <c r="X14" s="12">
        <v>1.25</v>
      </c>
      <c r="Y14" s="12">
        <v>1.25</v>
      </c>
      <c r="Z14" s="12">
        <v>1.25</v>
      </c>
      <c r="AA14" s="12">
        <v>1.25</v>
      </c>
      <c r="AB14" s="12">
        <v>1.25</v>
      </c>
      <c r="AC14" s="12">
        <v>1.25</v>
      </c>
      <c r="AD14" s="12">
        <v>1.25</v>
      </c>
      <c r="AE14" s="12">
        <v>1.25</v>
      </c>
      <c r="AF14" s="118">
        <v>1.25</v>
      </c>
    </row>
    <row r="15" spans="2:32" x14ac:dyDescent="0.2">
      <c r="B15" s="157" t="s">
        <v>16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16"/>
    </row>
    <row r="16" spans="2:32" x14ac:dyDescent="0.2">
      <c r="B16" s="103" t="s">
        <v>63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18"/>
    </row>
    <row r="17" spans="2:32" x14ac:dyDescent="0.2">
      <c r="B17" s="99" t="s">
        <v>35</v>
      </c>
      <c r="C17" s="40">
        <f>0.001*365*0.001</f>
        <v>3.6499999999999998E-4</v>
      </c>
      <c r="D17" s="40">
        <f t="shared" ref="D17:AF17" si="0">0.001*365*0.001</f>
        <v>3.6499999999999998E-4</v>
      </c>
      <c r="E17" s="40">
        <f t="shared" si="0"/>
        <v>3.6499999999999998E-4</v>
      </c>
      <c r="F17" s="40">
        <f t="shared" si="0"/>
        <v>3.6499999999999998E-4</v>
      </c>
      <c r="G17" s="40">
        <f t="shared" si="0"/>
        <v>3.6499999999999998E-4</v>
      </c>
      <c r="H17" s="40">
        <f t="shared" si="0"/>
        <v>3.6499999999999998E-4</v>
      </c>
      <c r="I17" s="40">
        <f t="shared" si="0"/>
        <v>3.6499999999999998E-4</v>
      </c>
      <c r="J17" s="40">
        <f t="shared" si="0"/>
        <v>3.6499999999999998E-4</v>
      </c>
      <c r="K17" s="40">
        <f t="shared" si="0"/>
        <v>3.6499999999999998E-4</v>
      </c>
      <c r="L17" s="40">
        <f t="shared" si="0"/>
        <v>3.6499999999999998E-4</v>
      </c>
      <c r="M17" s="40">
        <f t="shared" si="0"/>
        <v>3.6499999999999998E-4</v>
      </c>
      <c r="N17" s="40">
        <f t="shared" si="0"/>
        <v>3.6499999999999998E-4</v>
      </c>
      <c r="O17" s="40">
        <f t="shared" si="0"/>
        <v>3.6499999999999998E-4</v>
      </c>
      <c r="P17" s="40">
        <f t="shared" si="0"/>
        <v>3.6499999999999998E-4</v>
      </c>
      <c r="Q17" s="40">
        <f t="shared" si="0"/>
        <v>3.6499999999999998E-4</v>
      </c>
      <c r="R17" s="40">
        <f t="shared" si="0"/>
        <v>3.6499999999999998E-4</v>
      </c>
      <c r="S17" s="40">
        <f t="shared" si="0"/>
        <v>3.6499999999999998E-4</v>
      </c>
      <c r="T17" s="40">
        <f t="shared" si="0"/>
        <v>3.6499999999999998E-4</v>
      </c>
      <c r="U17" s="40">
        <f t="shared" si="0"/>
        <v>3.6499999999999998E-4</v>
      </c>
      <c r="V17" s="40">
        <f t="shared" si="0"/>
        <v>3.6499999999999998E-4</v>
      </c>
      <c r="W17" s="40">
        <f t="shared" si="0"/>
        <v>3.6499999999999998E-4</v>
      </c>
      <c r="X17" s="40">
        <f t="shared" si="0"/>
        <v>3.6499999999999998E-4</v>
      </c>
      <c r="Y17" s="40">
        <f t="shared" si="0"/>
        <v>3.6499999999999998E-4</v>
      </c>
      <c r="Z17" s="40">
        <f t="shared" si="0"/>
        <v>3.6499999999999998E-4</v>
      </c>
      <c r="AA17" s="40">
        <f t="shared" si="0"/>
        <v>3.6499999999999998E-4</v>
      </c>
      <c r="AB17" s="40">
        <f t="shared" si="0"/>
        <v>3.6499999999999998E-4</v>
      </c>
      <c r="AC17" s="40">
        <f t="shared" si="0"/>
        <v>3.6499999999999998E-4</v>
      </c>
      <c r="AD17" s="40">
        <f t="shared" si="0"/>
        <v>3.6499999999999998E-4</v>
      </c>
      <c r="AE17" s="40">
        <f t="shared" si="0"/>
        <v>3.6499999999999998E-4</v>
      </c>
      <c r="AF17" s="142">
        <f t="shared" si="0"/>
        <v>3.6499999999999998E-4</v>
      </c>
    </row>
    <row r="18" spans="2:32" x14ac:dyDescent="0.2">
      <c r="B18" s="97" t="s">
        <v>64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101"/>
    </row>
    <row r="19" spans="2:32" ht="13.5" thickBot="1" x14ac:dyDescent="0.25">
      <c r="B19" s="102" t="s">
        <v>57</v>
      </c>
      <c r="C19" s="131">
        <f>C5*C8*C11*C14*C17</f>
        <v>334872.89999999997</v>
      </c>
      <c r="D19" s="131">
        <f t="shared" ref="D19:AC19" si="1">D5*D8*D11*D14*D17</f>
        <v>342778.8</v>
      </c>
      <c r="E19" s="131">
        <f t="shared" si="1"/>
        <v>347818.26374999998</v>
      </c>
      <c r="F19" s="131">
        <f t="shared" si="1"/>
        <v>352035.93</v>
      </c>
      <c r="G19" s="131">
        <f t="shared" si="1"/>
        <v>358306.44750000001</v>
      </c>
      <c r="H19" s="131">
        <f t="shared" si="1"/>
        <v>362485.24124999996</v>
      </c>
      <c r="I19" s="131">
        <f t="shared" si="1"/>
        <v>365658.82499999995</v>
      </c>
      <c r="J19" s="131">
        <f t="shared" si="1"/>
        <v>368017.72875000001</v>
      </c>
      <c r="K19" s="131">
        <f t="shared" si="1"/>
        <v>370953.14999999997</v>
      </c>
      <c r="L19" s="131">
        <f t="shared" si="1"/>
        <v>373950.76724999998</v>
      </c>
      <c r="M19" s="131">
        <f t="shared" si="1"/>
        <v>376536.8835</v>
      </c>
      <c r="N19" s="131">
        <f t="shared" si="1"/>
        <v>381703.03875000001</v>
      </c>
      <c r="O19" s="131">
        <f t="shared" si="1"/>
        <v>385948.07999999996</v>
      </c>
      <c r="P19" s="131">
        <f t="shared" si="1"/>
        <v>390423.07124999998</v>
      </c>
      <c r="Q19" s="131">
        <f t="shared" si="1"/>
        <v>394230.87899999996</v>
      </c>
      <c r="R19" s="131">
        <f t="shared" si="1"/>
        <v>397537.99799999996</v>
      </c>
      <c r="S19" s="131">
        <f t="shared" si="1"/>
        <v>401386.48499999999</v>
      </c>
      <c r="T19" s="131">
        <f t="shared" si="1"/>
        <v>404626.04249999998</v>
      </c>
      <c r="U19" s="131">
        <f t="shared" si="1"/>
        <v>409511.9325</v>
      </c>
      <c r="V19" s="131">
        <f t="shared" si="1"/>
        <v>414291.60749999998</v>
      </c>
      <c r="W19" s="131">
        <f t="shared" si="1"/>
        <v>418380.88499999995</v>
      </c>
      <c r="X19" s="131">
        <f t="shared" si="1"/>
        <v>420186.54</v>
      </c>
      <c r="Y19" s="131">
        <f t="shared" si="1"/>
        <v>424700.67749999999</v>
      </c>
      <c r="Z19" s="131">
        <f t="shared" si="1"/>
        <v>429586.5675</v>
      </c>
      <c r="AA19" s="131">
        <f t="shared" si="1"/>
        <v>434897.3175</v>
      </c>
      <c r="AB19" s="131">
        <f t="shared" si="1"/>
        <v>439836.315</v>
      </c>
      <c r="AC19" s="131">
        <f t="shared" si="1"/>
        <v>444669.09749999997</v>
      </c>
      <c r="AD19" s="131">
        <f t="shared" ref="AD19:AF19" si="2">AD5*AD8*AD11*AD14*AD17</f>
        <v>448864.58999999997</v>
      </c>
      <c r="AE19" s="131">
        <f t="shared" si="2"/>
        <v>452157.255</v>
      </c>
      <c r="AF19" s="133">
        <f t="shared" si="2"/>
        <v>455396.8125</v>
      </c>
    </row>
    <row r="20" spans="2:32" x14ac:dyDescent="0.2">
      <c r="B20" s="103" t="s">
        <v>67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144"/>
    </row>
    <row r="21" spans="2:32" x14ac:dyDescent="0.2">
      <c r="B21" s="99" t="s">
        <v>40</v>
      </c>
      <c r="C21" s="45">
        <v>493.34399999999999</v>
      </c>
      <c r="D21" s="45">
        <v>487.29600000000005</v>
      </c>
      <c r="E21" s="45">
        <v>509.72399999999999</v>
      </c>
      <c r="F21" s="45">
        <v>515.62800000000004</v>
      </c>
      <c r="G21" s="45">
        <v>507.34800000000001</v>
      </c>
      <c r="H21" s="45">
        <v>504.21600000000001</v>
      </c>
      <c r="I21" s="45">
        <v>505.404</v>
      </c>
      <c r="J21" s="45">
        <v>506.05200000000002</v>
      </c>
      <c r="K21" s="45">
        <v>512.53200000000004</v>
      </c>
      <c r="L21" s="45">
        <v>512.49599999999998</v>
      </c>
      <c r="M21" s="45">
        <v>512.67599999999993</v>
      </c>
      <c r="N21" s="45">
        <v>498.56400000000002</v>
      </c>
      <c r="O21" s="45">
        <v>499.35599999999999</v>
      </c>
      <c r="P21" s="45">
        <v>502.88400000000001</v>
      </c>
      <c r="Q21" s="45">
        <v>506.59199999999998</v>
      </c>
      <c r="R21" s="45">
        <v>499.03200000000004</v>
      </c>
      <c r="S21" s="45">
        <v>500.94</v>
      </c>
      <c r="T21" s="45">
        <v>498.41999999999996</v>
      </c>
      <c r="U21" s="45">
        <v>503.28000000000003</v>
      </c>
      <c r="V21" s="45">
        <v>507.38400000000001</v>
      </c>
      <c r="W21" s="45">
        <v>529.41600000000005</v>
      </c>
      <c r="X21" s="45">
        <v>568.548</v>
      </c>
      <c r="Y21" s="45">
        <v>566.46</v>
      </c>
      <c r="Z21" s="45">
        <v>539.87089472295975</v>
      </c>
      <c r="AA21" s="45">
        <v>553.15095439262382</v>
      </c>
      <c r="AB21" s="45">
        <v>529.20107150699664</v>
      </c>
      <c r="AC21" s="45">
        <v>529.38318012498678</v>
      </c>
      <c r="AD21" s="45">
        <v>516.61969378411595</v>
      </c>
      <c r="AE21" s="45">
        <v>463.08557059498264</v>
      </c>
      <c r="AF21" s="146">
        <v>462.49837114654741</v>
      </c>
    </row>
    <row r="22" spans="2:32" s="9" customFormat="1" x14ac:dyDescent="0.2">
      <c r="B22" s="111" t="s">
        <v>162</v>
      </c>
      <c r="AF22" s="104"/>
    </row>
    <row r="23" spans="2:32" x14ac:dyDescent="0.2">
      <c r="B23" s="97" t="s">
        <v>66</v>
      </c>
      <c r="C23" s="7"/>
      <c r="D23" s="7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7"/>
      <c r="X23" s="7"/>
      <c r="Y23" s="7"/>
      <c r="Z23" s="7"/>
      <c r="AA23" s="7"/>
      <c r="AB23" s="7"/>
      <c r="AC23" s="7"/>
      <c r="AD23" s="7"/>
      <c r="AE23" s="7"/>
      <c r="AF23" s="101"/>
    </row>
    <row r="24" spans="2:32" x14ac:dyDescent="0.2">
      <c r="B24" s="99" t="s">
        <v>40</v>
      </c>
      <c r="C24" s="45">
        <v>808.29</v>
      </c>
      <c r="D24" s="45">
        <v>836.85599999999999</v>
      </c>
      <c r="E24" s="45">
        <v>861.44040000000007</v>
      </c>
      <c r="F24" s="45">
        <v>909.36360000000002</v>
      </c>
      <c r="G24" s="45">
        <v>958.08600000000001</v>
      </c>
      <c r="H24" s="45">
        <v>983.66399999999999</v>
      </c>
      <c r="I24" s="45">
        <v>1024.5240000000001</v>
      </c>
      <c r="J24" s="45">
        <v>1078.308</v>
      </c>
      <c r="K24" s="45">
        <v>1147.9679999999998</v>
      </c>
      <c r="L24" s="45">
        <v>1199.4480000000001</v>
      </c>
      <c r="M24" s="46">
        <v>1214.3723400000001</v>
      </c>
      <c r="N24" s="46">
        <v>1336.1635799999999</v>
      </c>
      <c r="O24" s="46">
        <v>1325.66454</v>
      </c>
      <c r="P24" s="46">
        <v>1325.13192</v>
      </c>
      <c r="Q24" s="46">
        <v>1338.8479200000002</v>
      </c>
      <c r="R24" s="46">
        <v>1329.5030400000001</v>
      </c>
      <c r="S24" s="46">
        <v>1368.0148320000003</v>
      </c>
      <c r="T24" s="46">
        <v>1384.78512636</v>
      </c>
      <c r="U24" s="46">
        <v>1393.884</v>
      </c>
      <c r="V24" s="46">
        <v>1390.5720000000001</v>
      </c>
      <c r="W24" s="46">
        <v>1427.2920000000001</v>
      </c>
      <c r="X24" s="46">
        <v>1464.9839999999999</v>
      </c>
      <c r="Y24" s="46">
        <v>1466.4265210084811</v>
      </c>
      <c r="Z24" s="46">
        <v>1442.5051052770402</v>
      </c>
      <c r="AA24" s="46">
        <v>1430.5210456073762</v>
      </c>
      <c r="AB24" s="46">
        <v>1393.0549284930034</v>
      </c>
      <c r="AC24" s="46">
        <v>1365.3328198750132</v>
      </c>
      <c r="AD24" s="46">
        <v>1375.432306215884</v>
      </c>
      <c r="AE24" s="46">
        <v>1379.0704294050174</v>
      </c>
      <c r="AF24" s="147">
        <v>1369.0016288534528</v>
      </c>
    </row>
    <row r="25" spans="2:32" x14ac:dyDescent="0.2">
      <c r="B25" s="111" t="s">
        <v>120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16"/>
    </row>
    <row r="26" spans="2:32" x14ac:dyDescent="0.2">
      <c r="B26" s="156" t="s">
        <v>68</v>
      </c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149"/>
    </row>
    <row r="27" spans="2:32" x14ac:dyDescent="0.2">
      <c r="B27" s="141" t="s">
        <v>40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7.9200000000000008</v>
      </c>
      <c r="S27" s="46">
        <v>8.8920000000000012</v>
      </c>
      <c r="T27" s="46">
        <v>16.452000000000002</v>
      </c>
      <c r="U27" s="46">
        <v>53.712000000000003</v>
      </c>
      <c r="V27" s="46">
        <v>53.712000000000003</v>
      </c>
      <c r="W27" s="46">
        <v>92.88000000000001</v>
      </c>
      <c r="X27" s="46">
        <v>131.00400000000002</v>
      </c>
      <c r="Y27" s="46">
        <v>93.528000000000006</v>
      </c>
      <c r="Z27" s="46">
        <v>189.648</v>
      </c>
      <c r="AA27" s="46">
        <v>338.11200000000008</v>
      </c>
      <c r="AB27" s="46">
        <v>429.80400000000003</v>
      </c>
      <c r="AC27" s="46">
        <v>545.43599999999992</v>
      </c>
      <c r="AD27" s="46">
        <v>638.13600000000008</v>
      </c>
      <c r="AE27" s="46">
        <v>708.84</v>
      </c>
      <c r="AF27" s="147">
        <v>760.75200000000018</v>
      </c>
    </row>
    <row r="28" spans="2:32" x14ac:dyDescent="0.2">
      <c r="B28" s="111" t="s">
        <v>162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147"/>
    </row>
    <row r="29" spans="2:32" x14ac:dyDescent="0.2">
      <c r="B29" s="141" t="s">
        <v>41</v>
      </c>
      <c r="C29" s="193">
        <v>0.05</v>
      </c>
      <c r="D29" s="50">
        <f t="shared" ref="D29:Z29" si="3">$C$29-(1-(($AA$2-D2)/($AA$2-$C$2)))*($C$29-$AA$29)</f>
        <v>4.895833333333334E-2</v>
      </c>
      <c r="E29" s="50">
        <f t="shared" si="3"/>
        <v>4.791666666666667E-2</v>
      </c>
      <c r="F29" s="50">
        <f t="shared" si="3"/>
        <v>4.6875E-2</v>
      </c>
      <c r="G29" s="50">
        <f t="shared" si="3"/>
        <v>4.5833333333333337E-2</v>
      </c>
      <c r="H29" s="50">
        <f t="shared" si="3"/>
        <v>4.4791666666666667E-2</v>
      </c>
      <c r="I29" s="50">
        <f t="shared" si="3"/>
        <v>4.3750000000000004E-2</v>
      </c>
      <c r="J29" s="50">
        <f t="shared" si="3"/>
        <v>4.2708333333333334E-2</v>
      </c>
      <c r="K29" s="50">
        <f t="shared" si="3"/>
        <v>4.1666666666666671E-2</v>
      </c>
      <c r="L29" s="50">
        <f t="shared" si="3"/>
        <v>4.0625000000000001E-2</v>
      </c>
      <c r="M29" s="50">
        <f t="shared" si="3"/>
        <v>3.9583333333333338E-2</v>
      </c>
      <c r="N29" s="50">
        <f t="shared" si="3"/>
        <v>3.8541666666666669E-2</v>
      </c>
      <c r="O29" s="50">
        <f t="shared" si="3"/>
        <v>3.7500000000000006E-2</v>
      </c>
      <c r="P29" s="50">
        <f t="shared" si="3"/>
        <v>3.6458333333333336E-2</v>
      </c>
      <c r="Q29" s="50">
        <f t="shared" si="3"/>
        <v>3.5416666666666673E-2</v>
      </c>
      <c r="R29" s="50">
        <f t="shared" si="3"/>
        <v>3.4375000000000003E-2</v>
      </c>
      <c r="S29" s="50">
        <f t="shared" si="3"/>
        <v>3.3333333333333333E-2</v>
      </c>
      <c r="T29" s="50">
        <f t="shared" si="3"/>
        <v>3.229166666666667E-2</v>
      </c>
      <c r="U29" s="50">
        <f t="shared" si="3"/>
        <v>3.125E-2</v>
      </c>
      <c r="V29" s="50">
        <f t="shared" si="3"/>
        <v>3.0208333333333337E-2</v>
      </c>
      <c r="W29" s="50">
        <f t="shared" si="3"/>
        <v>2.9166666666666667E-2</v>
      </c>
      <c r="X29" s="50">
        <f t="shared" si="3"/>
        <v>2.8125000000000001E-2</v>
      </c>
      <c r="Y29" s="50">
        <f t="shared" si="3"/>
        <v>2.7083333333333334E-2</v>
      </c>
      <c r="Z29" s="50">
        <f t="shared" si="3"/>
        <v>2.6041666666666668E-2</v>
      </c>
      <c r="AA29" s="49">
        <v>2.5000000000000001E-2</v>
      </c>
      <c r="AB29" s="49">
        <v>2.5000000000000001E-2</v>
      </c>
      <c r="AC29" s="49">
        <v>2.5000000000000001E-2</v>
      </c>
      <c r="AD29" s="49">
        <v>2.5000000000000001E-2</v>
      </c>
      <c r="AE29" s="49">
        <v>2.5000000000000001E-2</v>
      </c>
      <c r="AF29" s="150">
        <v>2.5000000000000001E-2</v>
      </c>
    </row>
    <row r="30" spans="2:32" x14ac:dyDescent="0.2">
      <c r="B30" s="99" t="s">
        <v>43</v>
      </c>
      <c r="C30" s="48">
        <f t="shared" ref="C30:AB30" si="4">C27*C29</f>
        <v>0</v>
      </c>
      <c r="D30" s="48">
        <f t="shared" si="4"/>
        <v>0</v>
      </c>
      <c r="E30" s="48">
        <f t="shared" si="4"/>
        <v>0</v>
      </c>
      <c r="F30" s="48">
        <f t="shared" si="4"/>
        <v>0</v>
      </c>
      <c r="G30" s="48">
        <f t="shared" si="4"/>
        <v>0</v>
      </c>
      <c r="H30" s="48">
        <f t="shared" si="4"/>
        <v>0</v>
      </c>
      <c r="I30" s="48">
        <f t="shared" si="4"/>
        <v>0</v>
      </c>
      <c r="J30" s="48">
        <f t="shared" si="4"/>
        <v>0</v>
      </c>
      <c r="K30" s="48">
        <f t="shared" si="4"/>
        <v>0</v>
      </c>
      <c r="L30" s="48">
        <f t="shared" si="4"/>
        <v>0</v>
      </c>
      <c r="M30" s="48">
        <f t="shared" si="4"/>
        <v>0</v>
      </c>
      <c r="N30" s="48">
        <f t="shared" si="4"/>
        <v>0</v>
      </c>
      <c r="O30" s="48">
        <f t="shared" si="4"/>
        <v>0</v>
      </c>
      <c r="P30" s="48">
        <f t="shared" si="4"/>
        <v>0</v>
      </c>
      <c r="Q30" s="48">
        <f t="shared" si="4"/>
        <v>0</v>
      </c>
      <c r="R30" s="45">
        <f t="shared" si="4"/>
        <v>0.27225000000000005</v>
      </c>
      <c r="S30" s="45">
        <f t="shared" si="4"/>
        <v>0.29640000000000005</v>
      </c>
      <c r="T30" s="45">
        <f t="shared" si="4"/>
        <v>0.53126250000000008</v>
      </c>
      <c r="U30" s="45">
        <f t="shared" si="4"/>
        <v>1.6785000000000001</v>
      </c>
      <c r="V30" s="45">
        <f t="shared" si="4"/>
        <v>1.6225500000000004</v>
      </c>
      <c r="W30" s="45">
        <f t="shared" si="4"/>
        <v>2.7090000000000005</v>
      </c>
      <c r="X30" s="45">
        <f t="shared" si="4"/>
        <v>3.6844875000000008</v>
      </c>
      <c r="Y30" s="45">
        <f t="shared" si="4"/>
        <v>2.5330500000000002</v>
      </c>
      <c r="Z30" s="45">
        <f t="shared" si="4"/>
        <v>4.9387499999999998</v>
      </c>
      <c r="AA30" s="45">
        <f t="shared" si="4"/>
        <v>8.4528000000000016</v>
      </c>
      <c r="AB30" s="45">
        <f t="shared" si="4"/>
        <v>10.745100000000001</v>
      </c>
      <c r="AC30" s="45">
        <f t="shared" ref="AC30:AD30" si="5">AC27*AC29</f>
        <v>13.635899999999999</v>
      </c>
      <c r="AD30" s="45">
        <f t="shared" si="5"/>
        <v>15.953400000000002</v>
      </c>
      <c r="AE30" s="45">
        <f t="shared" ref="AE30:AF30" si="6">AE27*AE29</f>
        <v>17.721</v>
      </c>
      <c r="AF30" s="146">
        <f t="shared" si="6"/>
        <v>19.018800000000006</v>
      </c>
    </row>
    <row r="31" spans="2:32" x14ac:dyDescent="0.2">
      <c r="B31" s="115" t="s">
        <v>65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146"/>
    </row>
    <row r="32" spans="2:32" x14ac:dyDescent="0.2">
      <c r="B32" s="156" t="s">
        <v>70</v>
      </c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  <c r="AF32" s="163"/>
    </row>
    <row r="33" spans="2:32" x14ac:dyDescent="0.2">
      <c r="B33" s="233" t="s">
        <v>40</v>
      </c>
      <c r="C33" s="164">
        <f>(C21+C24+C27+C35)</f>
        <v>1311.5424123532248</v>
      </c>
      <c r="D33" s="164">
        <f t="shared" ref="D33:AF33" si="7">(D21+D24+D27+D35)</f>
        <v>1334.2111142692831</v>
      </c>
      <c r="E33" s="164">
        <f t="shared" si="7"/>
        <v>1381.6551038340804</v>
      </c>
      <c r="F33" s="164">
        <f t="shared" si="7"/>
        <v>1435.7449182612538</v>
      </c>
      <c r="G33" s="164">
        <f t="shared" si="7"/>
        <v>1476.323808414385</v>
      </c>
      <c r="H33" s="164">
        <f t="shared" si="7"/>
        <v>1498.9040359005915</v>
      </c>
      <c r="I33" s="164">
        <f t="shared" si="7"/>
        <v>1541.1250608295111</v>
      </c>
      <c r="J33" s="164">
        <f t="shared" si="7"/>
        <v>1595.6748990940121</v>
      </c>
      <c r="K33" s="164">
        <f t="shared" si="7"/>
        <v>1672.0278562520416</v>
      </c>
      <c r="L33" s="164">
        <f t="shared" si="7"/>
        <v>1723.6006631099424</v>
      </c>
      <c r="M33" s="164">
        <f t="shared" si="7"/>
        <v>1738.8610402528948</v>
      </c>
      <c r="N33" s="164">
        <f t="shared" si="7"/>
        <v>1846.5101601684007</v>
      </c>
      <c r="O33" s="164">
        <f t="shared" si="7"/>
        <v>1837.0095143540718</v>
      </c>
      <c r="P33" s="164">
        <f t="shared" si="7"/>
        <v>1840.2035845661201</v>
      </c>
      <c r="Q33" s="164">
        <f t="shared" si="7"/>
        <v>1857.7954516071345</v>
      </c>
      <c r="R33" s="164">
        <f t="shared" si="7"/>
        <v>1848.862103191768</v>
      </c>
      <c r="S33" s="164">
        <f t="shared" si="7"/>
        <v>1892.8804692929245</v>
      </c>
      <c r="T33" s="164">
        <f t="shared" si="7"/>
        <v>1914.8492356697832</v>
      </c>
      <c r="U33" s="164">
        <f t="shared" si="7"/>
        <v>1966.461899365501</v>
      </c>
      <c r="V33" s="164">
        <f t="shared" si="7"/>
        <v>1967.2439820189793</v>
      </c>
      <c r="W33" s="164">
        <f t="shared" si="7"/>
        <v>2065.9342004977948</v>
      </c>
      <c r="X33" s="164">
        <f t="shared" si="7"/>
        <v>2181.7951433194621</v>
      </c>
      <c r="Y33" s="164">
        <f t="shared" si="7"/>
        <v>2143.3527132265649</v>
      </c>
      <c r="Z33" s="164">
        <f t="shared" si="7"/>
        <v>2189.2539329886922</v>
      </c>
      <c r="AA33" s="164">
        <f t="shared" si="7"/>
        <v>2339.9914009763252</v>
      </c>
      <c r="AB33" s="164">
        <f t="shared" si="7"/>
        <v>2370.4380518933376</v>
      </c>
      <c r="AC33" s="164">
        <f t="shared" si="7"/>
        <v>2459.2227829150279</v>
      </c>
      <c r="AD33" s="164">
        <f t="shared" si="7"/>
        <v>2549.8826715363102</v>
      </c>
      <c r="AE33" s="164">
        <f t="shared" si="7"/>
        <v>2570.6659203554459</v>
      </c>
      <c r="AF33" s="165">
        <f t="shared" si="7"/>
        <v>2612.0621472827538</v>
      </c>
    </row>
    <row r="34" spans="2:32" x14ac:dyDescent="0.2">
      <c r="B34" s="156" t="s">
        <v>69</v>
      </c>
      <c r="C34" s="7"/>
      <c r="D34" s="7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7"/>
      <c r="X34" s="7"/>
      <c r="Y34" s="7"/>
      <c r="Z34" s="7"/>
      <c r="AA34" s="7"/>
      <c r="AB34" s="7"/>
      <c r="AC34" s="7"/>
      <c r="AD34" s="7"/>
      <c r="AE34" s="7"/>
      <c r="AF34" s="101"/>
    </row>
    <row r="35" spans="2:32" ht="13.5" thickBot="1" x14ac:dyDescent="0.25">
      <c r="B35" s="233" t="s">
        <v>40</v>
      </c>
      <c r="C35" s="166">
        <v>9.9084123532247901</v>
      </c>
      <c r="D35" s="166">
        <v>10.059114269283048</v>
      </c>
      <c r="E35" s="166">
        <v>10.490703834080321</v>
      </c>
      <c r="F35" s="166">
        <v>10.753318261253749</v>
      </c>
      <c r="G35" s="166">
        <v>10.889808414385104</v>
      </c>
      <c r="H35" s="166">
        <v>11.024035900591237</v>
      </c>
      <c r="I35" s="166">
        <v>11.197060829511038</v>
      </c>
      <c r="J35" s="166">
        <v>11.314899094012027</v>
      </c>
      <c r="K35" s="166">
        <v>11.527856252041511</v>
      </c>
      <c r="L35" s="166">
        <v>11.656663109942521</v>
      </c>
      <c r="M35" s="166">
        <v>11.812700252894707</v>
      </c>
      <c r="N35" s="166">
        <v>11.782580168400672</v>
      </c>
      <c r="O35" s="166">
        <v>11.988974354071821</v>
      </c>
      <c r="P35" s="166">
        <v>12.187664566119944</v>
      </c>
      <c r="Q35" s="166">
        <v>12.355531607134193</v>
      </c>
      <c r="R35" s="166">
        <v>12.407063191767705</v>
      </c>
      <c r="S35" s="166">
        <v>15.033637292924201</v>
      </c>
      <c r="T35" s="166">
        <v>15.192109309783005</v>
      </c>
      <c r="U35" s="166">
        <v>15.585899365500959</v>
      </c>
      <c r="V35" s="166">
        <v>15.575982018979193</v>
      </c>
      <c r="W35" s="166">
        <v>16.346200497794747</v>
      </c>
      <c r="X35" s="166">
        <v>17.259143319462243</v>
      </c>
      <c r="Y35" s="166">
        <v>16.938192218083636</v>
      </c>
      <c r="Z35" s="166">
        <v>17.229932988692276</v>
      </c>
      <c r="AA35" s="166">
        <v>18.207400976325193</v>
      </c>
      <c r="AB35" s="166">
        <v>18.378051893337549</v>
      </c>
      <c r="AC35" s="166">
        <v>19.070782915028072</v>
      </c>
      <c r="AD35" s="166">
        <v>19.694671536310235</v>
      </c>
      <c r="AE35" s="166">
        <v>19.66992035544564</v>
      </c>
      <c r="AF35" s="167">
        <v>19.810147282753267</v>
      </c>
    </row>
    <row r="36" spans="2:32" ht="19.5" customHeight="1" x14ac:dyDescent="0.2">
      <c r="B36" s="168" t="s">
        <v>123</v>
      </c>
      <c r="C36" s="169"/>
      <c r="D36" s="169"/>
      <c r="E36" s="169"/>
      <c r="F36" s="169"/>
      <c r="G36" s="169"/>
      <c r="H36" s="169"/>
      <c r="I36" s="169"/>
      <c r="J36" s="169"/>
      <c r="K36" s="169"/>
      <c r="L36" s="169"/>
      <c r="M36" s="169"/>
      <c r="N36" s="169"/>
      <c r="O36" s="169"/>
      <c r="P36" s="169"/>
      <c r="Q36" s="169"/>
      <c r="R36" s="169"/>
      <c r="S36" s="169"/>
      <c r="T36" s="169"/>
      <c r="U36" s="169"/>
      <c r="V36" s="169"/>
      <c r="W36" s="169"/>
      <c r="X36" s="169"/>
      <c r="Y36" s="169"/>
      <c r="Z36" s="169"/>
      <c r="AA36" s="169"/>
      <c r="AB36" s="169"/>
      <c r="AC36" s="169"/>
      <c r="AD36" s="169"/>
      <c r="AE36" s="169"/>
      <c r="AF36" s="170"/>
    </row>
    <row r="37" spans="2:32" x14ac:dyDescent="0.2">
      <c r="B37" s="156" t="s">
        <v>164</v>
      </c>
      <c r="C37" s="9"/>
      <c r="D37" s="9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9"/>
      <c r="X37" s="9"/>
      <c r="Y37" s="9"/>
      <c r="Z37" s="9"/>
      <c r="AA37" s="9"/>
      <c r="AB37" s="9"/>
      <c r="AC37" s="9"/>
      <c r="AD37" s="9"/>
      <c r="AE37" s="9"/>
      <c r="AF37" s="104"/>
    </row>
    <row r="38" spans="2:32" x14ac:dyDescent="0.2">
      <c r="B38" s="141" t="s">
        <v>71</v>
      </c>
      <c r="C38" s="333">
        <v>2.5999999999999999E-3</v>
      </c>
      <c r="D38" s="333">
        <v>2.5999999999999999E-3</v>
      </c>
      <c r="E38" s="333">
        <v>2.5999999999999999E-3</v>
      </c>
      <c r="F38" s="333">
        <v>2.5999999999999999E-3</v>
      </c>
      <c r="G38" s="333">
        <v>2.5999999999999999E-3</v>
      </c>
      <c r="H38" s="333">
        <v>2.5999999999999999E-3</v>
      </c>
      <c r="I38" s="333">
        <v>2.5999999999999999E-3</v>
      </c>
      <c r="J38" s="333">
        <v>2.5999999999999999E-3</v>
      </c>
      <c r="K38" s="333">
        <v>2.5999999999999999E-3</v>
      </c>
      <c r="L38" s="333">
        <v>2.5999999999999999E-3</v>
      </c>
      <c r="M38" s="333">
        <v>2.5999999999999999E-3</v>
      </c>
      <c r="N38" s="333">
        <v>2.5999999999999999E-3</v>
      </c>
      <c r="O38" s="333">
        <v>2.5999999999999999E-3</v>
      </c>
      <c r="P38" s="333">
        <v>2.5999999999999999E-3</v>
      </c>
      <c r="Q38" s="333">
        <v>2.5999999999999999E-3</v>
      </c>
      <c r="R38" s="333">
        <v>2.5999999999999999E-3</v>
      </c>
      <c r="S38" s="333">
        <v>2.5999999999999999E-3</v>
      </c>
      <c r="T38" s="333">
        <v>2.5999999999999999E-3</v>
      </c>
      <c r="U38" s="334">
        <v>2.5999999999999999E-3</v>
      </c>
      <c r="V38" s="334">
        <v>2.5999999999999999E-3</v>
      </c>
      <c r="W38" s="333">
        <v>2.5999999999999999E-3</v>
      </c>
      <c r="X38" s="333">
        <v>2.5999999999999999E-3</v>
      </c>
      <c r="Y38" s="333">
        <v>2.5999999999999999E-3</v>
      </c>
      <c r="Z38" s="333">
        <v>2.5999999999999999E-3</v>
      </c>
      <c r="AA38" s="333">
        <v>2.5999999999999999E-3</v>
      </c>
      <c r="AB38" s="333">
        <v>2.5999999999999999E-3</v>
      </c>
      <c r="AC38" s="333">
        <v>2.5999999999999999E-3</v>
      </c>
      <c r="AD38" s="333">
        <v>2.5999999999999999E-3</v>
      </c>
      <c r="AE38" s="333">
        <v>2.5999999999999999E-3</v>
      </c>
      <c r="AF38" s="335">
        <v>2.5999999999999999E-3</v>
      </c>
    </row>
    <row r="39" spans="2:32" x14ac:dyDescent="0.2">
      <c r="B39" s="97" t="s">
        <v>165</v>
      </c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101"/>
    </row>
    <row r="40" spans="2:32" x14ac:dyDescent="0.2">
      <c r="B40" s="141" t="s">
        <v>71</v>
      </c>
      <c r="C40" s="336">
        <v>9.4000000000000004E-3</v>
      </c>
      <c r="D40" s="337">
        <v>9.4000000000000004E-3</v>
      </c>
      <c r="E40" s="337">
        <v>9.4000000000000004E-3</v>
      </c>
      <c r="F40" s="337">
        <v>9.4000000000000004E-3</v>
      </c>
      <c r="G40" s="337">
        <v>9.4000000000000004E-3</v>
      </c>
      <c r="H40" s="337">
        <v>9.4000000000000004E-3</v>
      </c>
      <c r="I40" s="337">
        <v>9.4000000000000004E-3</v>
      </c>
      <c r="J40" s="337">
        <v>9.4000000000000004E-3</v>
      </c>
      <c r="K40" s="337">
        <v>9.4000000000000004E-3</v>
      </c>
      <c r="L40" s="337">
        <v>9.4000000000000004E-3</v>
      </c>
      <c r="M40" s="338">
        <v>9.4000000000000004E-3</v>
      </c>
      <c r="N40" s="338">
        <v>9.4000000000000004E-3</v>
      </c>
      <c r="O40" s="338">
        <v>9.4000000000000004E-3</v>
      </c>
      <c r="P40" s="338">
        <v>9.4000000000000004E-3</v>
      </c>
      <c r="Q40" s="338">
        <v>9.4000000000000004E-3</v>
      </c>
      <c r="R40" s="338">
        <v>9.4000000000000004E-3</v>
      </c>
      <c r="S40" s="338">
        <v>9.4000000000000004E-3</v>
      </c>
      <c r="T40" s="338">
        <v>9.4000000000000004E-3</v>
      </c>
      <c r="U40" s="338">
        <v>9.4000000000000004E-3</v>
      </c>
      <c r="V40" s="338">
        <v>9.4000000000000004E-3</v>
      </c>
      <c r="W40" s="338">
        <v>9.4000000000000004E-3</v>
      </c>
      <c r="X40" s="338">
        <v>9.4000000000000004E-3</v>
      </c>
      <c r="Y40" s="338">
        <v>9.4000000000000004E-3</v>
      </c>
      <c r="Z40" s="338">
        <v>9.4000000000000004E-3</v>
      </c>
      <c r="AA40" s="338">
        <v>9.4000000000000004E-3</v>
      </c>
      <c r="AB40" s="338">
        <v>9.4000000000000004E-3</v>
      </c>
      <c r="AC40" s="338">
        <v>9.4000000000000004E-3</v>
      </c>
      <c r="AD40" s="338">
        <v>9.4000000000000004E-3</v>
      </c>
      <c r="AE40" s="338">
        <v>9.4000000000000004E-3</v>
      </c>
      <c r="AF40" s="339">
        <v>9.4000000000000004E-3</v>
      </c>
    </row>
    <row r="41" spans="2:32" x14ac:dyDescent="0.2">
      <c r="B41" s="97" t="s">
        <v>77</v>
      </c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101"/>
    </row>
    <row r="42" spans="2:32" ht="15.75" x14ac:dyDescent="0.3">
      <c r="B42" s="96" t="s">
        <v>45</v>
      </c>
      <c r="C42" s="183">
        <v>0</v>
      </c>
      <c r="D42" s="184">
        <v>0</v>
      </c>
      <c r="E42" s="184">
        <v>0</v>
      </c>
      <c r="F42" s="184">
        <v>0</v>
      </c>
      <c r="G42" s="184">
        <v>0</v>
      </c>
      <c r="H42" s="184">
        <v>0</v>
      </c>
      <c r="I42" s="184">
        <v>0</v>
      </c>
      <c r="J42" s="184">
        <v>0</v>
      </c>
      <c r="K42" s="184">
        <v>0</v>
      </c>
      <c r="L42" s="184">
        <v>0</v>
      </c>
      <c r="M42" s="222">
        <v>0</v>
      </c>
      <c r="N42" s="222">
        <v>0</v>
      </c>
      <c r="O42" s="222">
        <v>0</v>
      </c>
      <c r="P42" s="222">
        <v>0</v>
      </c>
      <c r="Q42" s="222">
        <v>0</v>
      </c>
      <c r="R42" s="222">
        <v>0</v>
      </c>
      <c r="S42" s="222">
        <v>0</v>
      </c>
      <c r="T42" s="222">
        <v>0</v>
      </c>
      <c r="U42" s="222">
        <v>0</v>
      </c>
      <c r="V42" s="222">
        <v>0</v>
      </c>
      <c r="W42" s="222">
        <v>0</v>
      </c>
      <c r="X42" s="222">
        <v>0</v>
      </c>
      <c r="Y42" s="222">
        <v>0</v>
      </c>
      <c r="Z42" s="222">
        <v>0</v>
      </c>
      <c r="AA42" s="222">
        <v>0</v>
      </c>
      <c r="AB42" s="222">
        <v>0</v>
      </c>
      <c r="AC42" s="222">
        <v>0</v>
      </c>
      <c r="AD42" s="222">
        <v>0</v>
      </c>
      <c r="AE42" s="222">
        <v>0</v>
      </c>
      <c r="AF42" s="223">
        <v>0</v>
      </c>
    </row>
    <row r="43" spans="2:32" x14ac:dyDescent="0.2">
      <c r="B43" s="140" t="s">
        <v>72</v>
      </c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147"/>
    </row>
    <row r="44" spans="2:32" ht="15.75" x14ac:dyDescent="0.3">
      <c r="B44" s="141" t="s">
        <v>45</v>
      </c>
      <c r="C44" s="56">
        <v>0</v>
      </c>
      <c r="D44" s="57">
        <v>0</v>
      </c>
      <c r="E44" s="57">
        <v>0</v>
      </c>
      <c r="F44" s="57">
        <v>0</v>
      </c>
      <c r="G44" s="57">
        <v>0</v>
      </c>
      <c r="H44" s="57">
        <v>0</v>
      </c>
      <c r="I44" s="57">
        <v>0</v>
      </c>
      <c r="J44" s="57">
        <v>0</v>
      </c>
      <c r="K44" s="57">
        <v>0</v>
      </c>
      <c r="L44" s="57">
        <v>0</v>
      </c>
      <c r="M44" s="58">
        <v>0</v>
      </c>
      <c r="N44" s="58">
        <v>0</v>
      </c>
      <c r="O44" s="58">
        <v>0</v>
      </c>
      <c r="P44" s="58">
        <v>0</v>
      </c>
      <c r="Q44" s="58">
        <v>0</v>
      </c>
      <c r="R44" s="58">
        <v>0</v>
      </c>
      <c r="S44" s="58">
        <v>0</v>
      </c>
      <c r="T44" s="58">
        <v>0</v>
      </c>
      <c r="U44" s="58">
        <v>0</v>
      </c>
      <c r="V44" s="58">
        <v>0</v>
      </c>
      <c r="W44" s="58">
        <v>0</v>
      </c>
      <c r="X44" s="58">
        <v>0</v>
      </c>
      <c r="Y44" s="58">
        <v>0</v>
      </c>
      <c r="Z44" s="58">
        <v>0</v>
      </c>
      <c r="AA44" s="58">
        <v>0</v>
      </c>
      <c r="AB44" s="58">
        <v>0</v>
      </c>
      <c r="AC44" s="58">
        <v>0</v>
      </c>
      <c r="AD44" s="58">
        <v>0</v>
      </c>
      <c r="AE44" s="58">
        <v>0</v>
      </c>
      <c r="AF44" s="148">
        <v>0</v>
      </c>
    </row>
    <row r="45" spans="2:32" x14ac:dyDescent="0.2">
      <c r="B45" s="97" t="s">
        <v>73</v>
      </c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  <c r="O45" s="172"/>
      <c r="P45" s="172"/>
      <c r="Q45" s="172"/>
      <c r="R45" s="173"/>
      <c r="S45" s="173"/>
      <c r="T45" s="173"/>
      <c r="U45" s="173"/>
      <c r="V45" s="173"/>
      <c r="W45" s="173"/>
      <c r="X45" s="173"/>
      <c r="Y45" s="173"/>
      <c r="Z45" s="173"/>
      <c r="AA45" s="173"/>
      <c r="AB45" s="173"/>
      <c r="AC45" s="173"/>
      <c r="AD45" s="173"/>
      <c r="AE45" s="173"/>
      <c r="AF45" s="174"/>
    </row>
    <row r="46" spans="2:32" ht="15.75" x14ac:dyDescent="0.3">
      <c r="B46" s="96" t="s">
        <v>45</v>
      </c>
      <c r="C46" s="179">
        <v>19945.139407044298</v>
      </c>
      <c r="D46" s="85">
        <v>19945.139407044298</v>
      </c>
      <c r="E46" s="175">
        <v>19945.139407044298</v>
      </c>
      <c r="F46" s="175">
        <v>19945.139407044298</v>
      </c>
      <c r="G46" s="175">
        <v>19945.139407044298</v>
      </c>
      <c r="H46" s="175">
        <v>19945.139407044298</v>
      </c>
      <c r="I46" s="175">
        <v>19945.139407044298</v>
      </c>
      <c r="J46" s="175">
        <v>19945.139407044298</v>
      </c>
      <c r="K46" s="175">
        <v>19945.139407044298</v>
      </c>
      <c r="L46" s="175">
        <v>19945.139407044298</v>
      </c>
      <c r="M46" s="175">
        <v>19945.139407044298</v>
      </c>
      <c r="N46" s="175">
        <v>19945.139407044298</v>
      </c>
      <c r="O46" s="175">
        <v>19945.139407044298</v>
      </c>
      <c r="P46" s="175">
        <v>19945.139407044298</v>
      </c>
      <c r="Q46" s="175">
        <v>19945.139407044298</v>
      </c>
      <c r="R46" s="175">
        <v>19945.139407044298</v>
      </c>
      <c r="S46" s="175">
        <v>19945.139407044298</v>
      </c>
      <c r="T46" s="175">
        <v>19945.139407044298</v>
      </c>
      <c r="U46" s="175">
        <v>19945.139407044298</v>
      </c>
      <c r="V46" s="175">
        <v>19945.139407044298</v>
      </c>
      <c r="W46" s="85">
        <v>19945.139407044298</v>
      </c>
      <c r="X46" s="85">
        <v>19945.139407044298</v>
      </c>
      <c r="Y46" s="85">
        <v>19945.139407044298</v>
      </c>
      <c r="Z46" s="85">
        <v>19945.139407044298</v>
      </c>
      <c r="AA46" s="85">
        <v>19945.139407044298</v>
      </c>
      <c r="AB46" s="85">
        <v>19945.139407044298</v>
      </c>
      <c r="AC46" s="85">
        <v>19945.139407044298</v>
      </c>
      <c r="AD46" s="85">
        <v>19945.139407044298</v>
      </c>
      <c r="AE46" s="85">
        <v>19945.139407044298</v>
      </c>
      <c r="AF46" s="120">
        <v>19945.139407044298</v>
      </c>
    </row>
    <row r="47" spans="2:32" x14ac:dyDescent="0.2">
      <c r="B47" s="97" t="s">
        <v>74</v>
      </c>
      <c r="C47" s="176"/>
      <c r="D47" s="176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7"/>
      <c r="AE47" s="177"/>
      <c r="AF47" s="178"/>
    </row>
    <row r="48" spans="2:32" ht="15.75" x14ac:dyDescent="0.3">
      <c r="B48" s="96" t="s">
        <v>45</v>
      </c>
      <c r="C48" s="164">
        <v>6</v>
      </c>
      <c r="D48" s="164">
        <v>6</v>
      </c>
      <c r="E48" s="166">
        <v>6</v>
      </c>
      <c r="F48" s="166">
        <v>6</v>
      </c>
      <c r="G48" s="166">
        <v>6</v>
      </c>
      <c r="H48" s="166">
        <v>6</v>
      </c>
      <c r="I48" s="166">
        <v>6</v>
      </c>
      <c r="J48" s="166">
        <v>6</v>
      </c>
      <c r="K48" s="166">
        <v>6</v>
      </c>
      <c r="L48" s="166">
        <v>6</v>
      </c>
      <c r="M48" s="166">
        <v>6</v>
      </c>
      <c r="N48" s="166">
        <v>6</v>
      </c>
      <c r="O48" s="166">
        <v>6</v>
      </c>
      <c r="P48" s="166">
        <v>6</v>
      </c>
      <c r="Q48" s="166">
        <v>6</v>
      </c>
      <c r="R48" s="166">
        <v>6</v>
      </c>
      <c r="S48" s="166">
        <v>6</v>
      </c>
      <c r="T48" s="166">
        <v>6</v>
      </c>
      <c r="U48" s="166">
        <v>6</v>
      </c>
      <c r="V48" s="166">
        <v>6</v>
      </c>
      <c r="W48" s="166">
        <v>6</v>
      </c>
      <c r="X48" s="166">
        <v>6</v>
      </c>
      <c r="Y48" s="166">
        <v>6</v>
      </c>
      <c r="Z48" s="166">
        <v>6</v>
      </c>
      <c r="AA48" s="166">
        <v>6</v>
      </c>
      <c r="AB48" s="166">
        <v>6</v>
      </c>
      <c r="AC48" s="166">
        <v>7</v>
      </c>
      <c r="AD48" s="166">
        <v>7</v>
      </c>
      <c r="AE48" s="166">
        <v>7</v>
      </c>
      <c r="AF48" s="167">
        <v>7</v>
      </c>
    </row>
    <row r="49" spans="2:32" x14ac:dyDescent="0.2">
      <c r="B49" s="103" t="s">
        <v>82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152"/>
    </row>
    <row r="50" spans="2:32" ht="16.5" thickBot="1" x14ac:dyDescent="0.35">
      <c r="B50" s="99" t="s">
        <v>45</v>
      </c>
      <c r="C50" s="63">
        <v>19945.139407044298</v>
      </c>
      <c r="D50" s="25">
        <v>19945.139407044298</v>
      </c>
      <c r="E50" s="26">
        <v>19945.139407044298</v>
      </c>
      <c r="F50" s="26">
        <v>19945.139407044298</v>
      </c>
      <c r="G50" s="26">
        <v>19945.139407044298</v>
      </c>
      <c r="H50" s="26">
        <v>19945.139407044298</v>
      </c>
      <c r="I50" s="26">
        <v>19945.139407044298</v>
      </c>
      <c r="J50" s="26">
        <v>19945.139407044298</v>
      </c>
      <c r="K50" s="26">
        <v>19945.139407044298</v>
      </c>
      <c r="L50" s="26">
        <v>19945.139407044298</v>
      </c>
      <c r="M50" s="26">
        <v>19945.139407044298</v>
      </c>
      <c r="N50" s="26">
        <v>19945.139407044298</v>
      </c>
      <c r="O50" s="26">
        <v>19945.139407044298</v>
      </c>
      <c r="P50" s="26">
        <v>19945.139407044298</v>
      </c>
      <c r="Q50" s="26">
        <v>19945.139407044298</v>
      </c>
      <c r="R50" s="26">
        <v>19945.139407044298</v>
      </c>
      <c r="S50" s="26">
        <v>19945.139407044298</v>
      </c>
      <c r="T50" s="26">
        <v>19945.139407044298</v>
      </c>
      <c r="U50" s="26">
        <v>19945.139407044298</v>
      </c>
      <c r="V50" s="26">
        <v>19945.139407044298</v>
      </c>
      <c r="W50" s="25">
        <v>19945.139407044298</v>
      </c>
      <c r="X50" s="25">
        <v>19945.139407044298</v>
      </c>
      <c r="Y50" s="25">
        <v>19945.139407044298</v>
      </c>
      <c r="Z50" s="25">
        <v>19945.139407044298</v>
      </c>
      <c r="AA50" s="25">
        <v>19945.139407044298</v>
      </c>
      <c r="AB50" s="25">
        <v>19945.139407044298</v>
      </c>
      <c r="AC50" s="25">
        <v>19946.139407044298</v>
      </c>
      <c r="AD50" s="25">
        <v>19946.139407044298</v>
      </c>
      <c r="AE50" s="25">
        <v>19946.139407044298</v>
      </c>
      <c r="AF50" s="151">
        <v>19946.139407044298</v>
      </c>
    </row>
    <row r="51" spans="2:32" ht="19.5" customHeight="1" x14ac:dyDescent="0.2">
      <c r="B51" s="168" t="s">
        <v>122</v>
      </c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  <c r="V51" s="169"/>
      <c r="W51" s="169"/>
      <c r="X51" s="169"/>
      <c r="Y51" s="169"/>
      <c r="Z51" s="169"/>
      <c r="AA51" s="169"/>
      <c r="AB51" s="169"/>
      <c r="AC51" s="169"/>
      <c r="AD51" s="169"/>
      <c r="AE51" s="169"/>
      <c r="AF51" s="170"/>
    </row>
    <row r="52" spans="2:32" ht="14.25" x14ac:dyDescent="0.25">
      <c r="B52" s="103" t="s">
        <v>166</v>
      </c>
      <c r="C52" s="12"/>
      <c r="D52" s="12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12"/>
      <c r="X52" s="12"/>
      <c r="Y52" s="12"/>
      <c r="Z52" s="12"/>
      <c r="AA52" s="12"/>
      <c r="AB52" s="12"/>
      <c r="AC52" s="12"/>
      <c r="AD52" s="12"/>
      <c r="AE52" s="12"/>
      <c r="AF52" s="118"/>
    </row>
    <row r="53" spans="2:32" ht="15.75" x14ac:dyDescent="0.3">
      <c r="B53" s="96" t="s">
        <v>39</v>
      </c>
      <c r="C53" s="330">
        <f>$C$19*C38</f>
        <v>870.66953999999987</v>
      </c>
      <c r="D53" s="331">
        <f t="shared" ref="D53:AF53" si="8">D19*D38</f>
        <v>891.22487999999998</v>
      </c>
      <c r="E53" s="331">
        <f t="shared" si="8"/>
        <v>904.32748574999994</v>
      </c>
      <c r="F53" s="331">
        <f t="shared" si="8"/>
        <v>915.29341799999997</v>
      </c>
      <c r="G53" s="331">
        <f t="shared" si="8"/>
        <v>931.59676349999995</v>
      </c>
      <c r="H53" s="331">
        <f t="shared" si="8"/>
        <v>942.46162724999988</v>
      </c>
      <c r="I53" s="331">
        <f t="shared" si="8"/>
        <v>950.71294499999988</v>
      </c>
      <c r="J53" s="331">
        <f t="shared" si="8"/>
        <v>956.84609475000002</v>
      </c>
      <c r="K53" s="331">
        <f t="shared" si="8"/>
        <v>964.47818999999981</v>
      </c>
      <c r="L53" s="331">
        <f t="shared" si="8"/>
        <v>972.27199484999994</v>
      </c>
      <c r="M53" s="331">
        <f t="shared" si="8"/>
        <v>978.99589709999998</v>
      </c>
      <c r="N53" s="331">
        <f t="shared" si="8"/>
        <v>992.42790074999994</v>
      </c>
      <c r="O53" s="331">
        <f t="shared" si="8"/>
        <v>1003.4650079999999</v>
      </c>
      <c r="P53" s="331">
        <f t="shared" si="8"/>
        <v>1015.0999852499999</v>
      </c>
      <c r="Q53" s="331">
        <f t="shared" si="8"/>
        <v>1025.0002853999999</v>
      </c>
      <c r="R53" s="331">
        <f t="shared" si="8"/>
        <v>1033.5987948</v>
      </c>
      <c r="S53" s="331">
        <f t="shared" si="8"/>
        <v>1043.604861</v>
      </c>
      <c r="T53" s="331">
        <f t="shared" si="8"/>
        <v>1052.0277105</v>
      </c>
      <c r="U53" s="331">
        <f t="shared" si="8"/>
        <v>1064.7310244999999</v>
      </c>
      <c r="V53" s="331">
        <f t="shared" si="8"/>
        <v>1077.1581795</v>
      </c>
      <c r="W53" s="331">
        <f t="shared" si="8"/>
        <v>1087.7903009999998</v>
      </c>
      <c r="X53" s="331">
        <f t="shared" si="8"/>
        <v>1092.4850039999999</v>
      </c>
      <c r="Y53" s="331">
        <f t="shared" si="8"/>
        <v>1104.2217615</v>
      </c>
      <c r="Z53" s="331">
        <f t="shared" si="8"/>
        <v>1116.9250755</v>
      </c>
      <c r="AA53" s="331">
        <f t="shared" si="8"/>
        <v>1130.7330254999999</v>
      </c>
      <c r="AB53" s="331">
        <f t="shared" si="8"/>
        <v>1143.574419</v>
      </c>
      <c r="AC53" s="331">
        <f t="shared" si="8"/>
        <v>1156.1396534999999</v>
      </c>
      <c r="AD53" s="331">
        <f t="shared" si="8"/>
        <v>1167.0479339999999</v>
      </c>
      <c r="AE53" s="331">
        <f t="shared" si="8"/>
        <v>1175.6088629999999</v>
      </c>
      <c r="AF53" s="332">
        <f t="shared" si="8"/>
        <v>1184.0317124999999</v>
      </c>
    </row>
    <row r="54" spans="2:32" ht="14.25" x14ac:dyDescent="0.25">
      <c r="B54" s="103" t="s">
        <v>167</v>
      </c>
      <c r="C54" s="195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304"/>
    </row>
    <row r="55" spans="2:32" ht="15.75" x14ac:dyDescent="0.3">
      <c r="B55" s="99" t="s">
        <v>39</v>
      </c>
      <c r="C55" s="195">
        <f>C$19*C40</f>
        <v>3147.8052599999996</v>
      </c>
      <c r="D55" s="196">
        <f t="shared" ref="D55:AF55" si="9">D$19*D40</f>
        <v>3222.1207199999999</v>
      </c>
      <c r="E55" s="196">
        <f t="shared" si="9"/>
        <v>3269.4916792499998</v>
      </c>
      <c r="F55" s="196">
        <f t="shared" si="9"/>
        <v>3309.1377419999999</v>
      </c>
      <c r="G55" s="196">
        <f t="shared" si="9"/>
        <v>3368.0806065000002</v>
      </c>
      <c r="H55" s="196">
        <f t="shared" si="9"/>
        <v>3407.3612677499996</v>
      </c>
      <c r="I55" s="196">
        <f t="shared" si="9"/>
        <v>3437.1929549999995</v>
      </c>
      <c r="J55" s="196">
        <f t="shared" si="9"/>
        <v>3459.36665025</v>
      </c>
      <c r="K55" s="196">
        <f t="shared" si="9"/>
        <v>3486.9596099999999</v>
      </c>
      <c r="L55" s="196">
        <f t="shared" si="9"/>
        <v>3515.1372121499999</v>
      </c>
      <c r="M55" s="196">
        <f t="shared" si="9"/>
        <v>3539.4467049</v>
      </c>
      <c r="N55" s="196">
        <f t="shared" si="9"/>
        <v>3588.0085642500003</v>
      </c>
      <c r="O55" s="196">
        <f t="shared" si="9"/>
        <v>3627.9119519999999</v>
      </c>
      <c r="P55" s="196">
        <f t="shared" si="9"/>
        <v>3669.9768697499999</v>
      </c>
      <c r="Q55" s="196">
        <f t="shared" si="9"/>
        <v>3705.7702625999996</v>
      </c>
      <c r="R55" s="196">
        <f t="shared" si="9"/>
        <v>3736.8571812</v>
      </c>
      <c r="S55" s="196">
        <f t="shared" si="9"/>
        <v>3773.0329590000001</v>
      </c>
      <c r="T55" s="196">
        <f t="shared" si="9"/>
        <v>3803.4847995</v>
      </c>
      <c r="U55" s="196">
        <f t="shared" si="9"/>
        <v>3849.4121654999999</v>
      </c>
      <c r="V55" s="196">
        <f t="shared" si="9"/>
        <v>3894.3411105</v>
      </c>
      <c r="W55" s="196">
        <f t="shared" si="9"/>
        <v>3932.7803189999995</v>
      </c>
      <c r="X55" s="196">
        <f t="shared" si="9"/>
        <v>3949.7534759999999</v>
      </c>
      <c r="Y55" s="196">
        <f t="shared" si="9"/>
        <v>3992.1863684999998</v>
      </c>
      <c r="Z55" s="196">
        <f t="shared" si="9"/>
        <v>4038.1137345000002</v>
      </c>
      <c r="AA55" s="196">
        <f t="shared" si="9"/>
        <v>4088.0347845000001</v>
      </c>
      <c r="AB55" s="196">
        <f t="shared" si="9"/>
        <v>4134.4613610000006</v>
      </c>
      <c r="AC55" s="196">
        <f t="shared" si="9"/>
        <v>4179.8895165000004</v>
      </c>
      <c r="AD55" s="196">
        <f t="shared" si="9"/>
        <v>4219.3271459999996</v>
      </c>
      <c r="AE55" s="196">
        <f t="shared" si="9"/>
        <v>4250.2781970000005</v>
      </c>
      <c r="AF55" s="304">
        <f t="shared" si="9"/>
        <v>4280.7300375000004</v>
      </c>
    </row>
    <row r="56" spans="2:32" x14ac:dyDescent="0.2">
      <c r="B56" s="158" t="s">
        <v>78</v>
      </c>
      <c r="C56" s="180"/>
      <c r="D56" s="181"/>
      <c r="E56" s="181"/>
      <c r="F56" s="181"/>
      <c r="G56" s="181"/>
      <c r="H56" s="181"/>
      <c r="I56" s="181"/>
      <c r="J56" s="181"/>
      <c r="K56" s="181"/>
      <c r="L56" s="181"/>
      <c r="M56" s="181"/>
      <c r="N56" s="181"/>
      <c r="O56" s="181"/>
      <c r="P56" s="181"/>
      <c r="Q56" s="181"/>
      <c r="R56" s="181"/>
      <c r="S56" s="181"/>
      <c r="T56" s="181"/>
      <c r="U56" s="181"/>
      <c r="V56" s="181"/>
      <c r="W56" s="181"/>
      <c r="X56" s="181"/>
      <c r="Y56" s="181"/>
      <c r="Z56" s="181"/>
      <c r="AA56" s="181"/>
      <c r="AB56" s="181"/>
      <c r="AC56" s="181"/>
      <c r="AD56" s="181"/>
      <c r="AE56" s="181"/>
      <c r="AF56" s="182"/>
    </row>
    <row r="57" spans="2:32" ht="15.75" x14ac:dyDescent="0.3">
      <c r="B57" s="159" t="s">
        <v>39</v>
      </c>
      <c r="C57" s="183">
        <f t="shared" ref="C57:AF57" si="10">C21*C42/1000</f>
        <v>0</v>
      </c>
      <c r="D57" s="184">
        <f t="shared" si="10"/>
        <v>0</v>
      </c>
      <c r="E57" s="184">
        <f t="shared" si="10"/>
        <v>0</v>
      </c>
      <c r="F57" s="184">
        <f t="shared" si="10"/>
        <v>0</v>
      </c>
      <c r="G57" s="184">
        <f t="shared" si="10"/>
        <v>0</v>
      </c>
      <c r="H57" s="184">
        <f t="shared" si="10"/>
        <v>0</v>
      </c>
      <c r="I57" s="184">
        <f t="shared" si="10"/>
        <v>0</v>
      </c>
      <c r="J57" s="184">
        <f t="shared" si="10"/>
        <v>0</v>
      </c>
      <c r="K57" s="184">
        <f t="shared" si="10"/>
        <v>0</v>
      </c>
      <c r="L57" s="184">
        <f t="shared" si="10"/>
        <v>0</v>
      </c>
      <c r="M57" s="184">
        <f t="shared" si="10"/>
        <v>0</v>
      </c>
      <c r="N57" s="184">
        <f t="shared" si="10"/>
        <v>0</v>
      </c>
      <c r="O57" s="184">
        <f t="shared" si="10"/>
        <v>0</v>
      </c>
      <c r="P57" s="184">
        <f t="shared" si="10"/>
        <v>0</v>
      </c>
      <c r="Q57" s="184">
        <f t="shared" si="10"/>
        <v>0</v>
      </c>
      <c r="R57" s="184">
        <f t="shared" si="10"/>
        <v>0</v>
      </c>
      <c r="S57" s="184">
        <f t="shared" si="10"/>
        <v>0</v>
      </c>
      <c r="T57" s="184">
        <f t="shared" si="10"/>
        <v>0</v>
      </c>
      <c r="U57" s="184">
        <f t="shared" si="10"/>
        <v>0</v>
      </c>
      <c r="V57" s="184">
        <f t="shared" si="10"/>
        <v>0</v>
      </c>
      <c r="W57" s="184">
        <f t="shared" si="10"/>
        <v>0</v>
      </c>
      <c r="X57" s="184">
        <f t="shared" si="10"/>
        <v>0</v>
      </c>
      <c r="Y57" s="184">
        <f t="shared" si="10"/>
        <v>0</v>
      </c>
      <c r="Z57" s="184">
        <f t="shared" si="10"/>
        <v>0</v>
      </c>
      <c r="AA57" s="184">
        <f t="shared" si="10"/>
        <v>0</v>
      </c>
      <c r="AB57" s="184">
        <f t="shared" si="10"/>
        <v>0</v>
      </c>
      <c r="AC57" s="184">
        <f t="shared" si="10"/>
        <v>0</v>
      </c>
      <c r="AD57" s="184">
        <f t="shared" si="10"/>
        <v>0</v>
      </c>
      <c r="AE57" s="184">
        <f t="shared" si="10"/>
        <v>0</v>
      </c>
      <c r="AF57" s="185">
        <f t="shared" si="10"/>
        <v>0</v>
      </c>
    </row>
    <row r="58" spans="2:32" x14ac:dyDescent="0.2">
      <c r="B58" s="143" t="s">
        <v>79</v>
      </c>
      <c r="C58" s="44"/>
      <c r="D58" s="45"/>
      <c r="E58" s="45"/>
      <c r="F58" s="45"/>
      <c r="G58" s="45"/>
      <c r="H58" s="45"/>
      <c r="I58" s="45"/>
      <c r="J58" s="45"/>
      <c r="K58" s="45"/>
      <c r="L58" s="45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147"/>
    </row>
    <row r="59" spans="2:32" ht="15.75" x14ac:dyDescent="0.3">
      <c r="B59" s="145" t="s">
        <v>39</v>
      </c>
      <c r="C59" s="56">
        <f t="shared" ref="C59:AF59" si="11">C24*C44/1000</f>
        <v>0</v>
      </c>
      <c r="D59" s="57">
        <f t="shared" si="11"/>
        <v>0</v>
      </c>
      <c r="E59" s="57">
        <f t="shared" si="11"/>
        <v>0</v>
      </c>
      <c r="F59" s="57">
        <f t="shared" si="11"/>
        <v>0</v>
      </c>
      <c r="G59" s="57">
        <f t="shared" si="11"/>
        <v>0</v>
      </c>
      <c r="H59" s="57">
        <f t="shared" si="11"/>
        <v>0</v>
      </c>
      <c r="I59" s="57">
        <f t="shared" si="11"/>
        <v>0</v>
      </c>
      <c r="J59" s="57">
        <f t="shared" si="11"/>
        <v>0</v>
      </c>
      <c r="K59" s="57">
        <f t="shared" si="11"/>
        <v>0</v>
      </c>
      <c r="L59" s="57">
        <f t="shared" si="11"/>
        <v>0</v>
      </c>
      <c r="M59" s="58">
        <f t="shared" si="11"/>
        <v>0</v>
      </c>
      <c r="N59" s="58">
        <f t="shared" si="11"/>
        <v>0</v>
      </c>
      <c r="O59" s="58">
        <f t="shared" si="11"/>
        <v>0</v>
      </c>
      <c r="P59" s="58">
        <f t="shared" si="11"/>
        <v>0</v>
      </c>
      <c r="Q59" s="58">
        <f t="shared" si="11"/>
        <v>0</v>
      </c>
      <c r="R59" s="58">
        <f t="shared" si="11"/>
        <v>0</v>
      </c>
      <c r="S59" s="58">
        <f t="shared" si="11"/>
        <v>0</v>
      </c>
      <c r="T59" s="58">
        <f t="shared" si="11"/>
        <v>0</v>
      </c>
      <c r="U59" s="58">
        <f t="shared" si="11"/>
        <v>0</v>
      </c>
      <c r="V59" s="58">
        <f t="shared" si="11"/>
        <v>0</v>
      </c>
      <c r="W59" s="58">
        <f t="shared" si="11"/>
        <v>0</v>
      </c>
      <c r="X59" s="58">
        <f t="shared" si="11"/>
        <v>0</v>
      </c>
      <c r="Y59" s="58">
        <f t="shared" si="11"/>
        <v>0</v>
      </c>
      <c r="Z59" s="58">
        <f t="shared" si="11"/>
        <v>0</v>
      </c>
      <c r="AA59" s="58">
        <f t="shared" si="11"/>
        <v>0</v>
      </c>
      <c r="AB59" s="58">
        <f t="shared" si="11"/>
        <v>0</v>
      </c>
      <c r="AC59" s="58">
        <f t="shared" si="11"/>
        <v>0</v>
      </c>
      <c r="AD59" s="58">
        <f t="shared" si="11"/>
        <v>0</v>
      </c>
      <c r="AE59" s="58">
        <f t="shared" si="11"/>
        <v>0</v>
      </c>
      <c r="AF59" s="148">
        <f t="shared" si="11"/>
        <v>0</v>
      </c>
    </row>
    <row r="60" spans="2:32" x14ac:dyDescent="0.2">
      <c r="B60" s="97" t="s">
        <v>80</v>
      </c>
      <c r="C60" s="171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72"/>
      <c r="Q60" s="172"/>
      <c r="R60" s="173"/>
      <c r="S60" s="173"/>
      <c r="T60" s="173"/>
      <c r="U60" s="173"/>
      <c r="V60" s="173"/>
      <c r="W60" s="173"/>
      <c r="X60" s="173"/>
      <c r="Y60" s="173"/>
      <c r="Z60" s="173"/>
      <c r="AA60" s="173"/>
      <c r="AB60" s="173"/>
      <c r="AC60" s="173"/>
      <c r="AD60" s="173"/>
      <c r="AE60" s="173"/>
      <c r="AF60" s="174"/>
    </row>
    <row r="61" spans="2:32" ht="15.75" x14ac:dyDescent="0.3">
      <c r="B61" s="96" t="s">
        <v>39</v>
      </c>
      <c r="C61" s="186">
        <f t="shared" ref="C61:AF61" si="12">C30*C46/1000</f>
        <v>0</v>
      </c>
      <c r="D61" s="187">
        <f t="shared" si="12"/>
        <v>0</v>
      </c>
      <c r="E61" s="187">
        <f t="shared" si="12"/>
        <v>0</v>
      </c>
      <c r="F61" s="187">
        <f t="shared" si="12"/>
        <v>0</v>
      </c>
      <c r="G61" s="187">
        <f t="shared" si="12"/>
        <v>0</v>
      </c>
      <c r="H61" s="187">
        <f t="shared" si="12"/>
        <v>0</v>
      </c>
      <c r="I61" s="187">
        <f t="shared" si="12"/>
        <v>0</v>
      </c>
      <c r="J61" s="187">
        <f t="shared" si="12"/>
        <v>0</v>
      </c>
      <c r="K61" s="187">
        <f t="shared" si="12"/>
        <v>0</v>
      </c>
      <c r="L61" s="187">
        <f t="shared" si="12"/>
        <v>0</v>
      </c>
      <c r="M61" s="187">
        <f t="shared" si="12"/>
        <v>0</v>
      </c>
      <c r="N61" s="187">
        <f t="shared" si="12"/>
        <v>0</v>
      </c>
      <c r="O61" s="187">
        <f t="shared" si="12"/>
        <v>0</v>
      </c>
      <c r="P61" s="187">
        <f t="shared" si="12"/>
        <v>0</v>
      </c>
      <c r="Q61" s="187">
        <f t="shared" si="12"/>
        <v>0</v>
      </c>
      <c r="R61" s="187">
        <f t="shared" si="12"/>
        <v>5.4300642035678113</v>
      </c>
      <c r="S61" s="187">
        <f t="shared" si="12"/>
        <v>5.9117393202479303</v>
      </c>
      <c r="T61" s="187">
        <f t="shared" si="12"/>
        <v>10.596104624234872</v>
      </c>
      <c r="U61" s="187">
        <f t="shared" si="12"/>
        <v>33.477916494723857</v>
      </c>
      <c r="V61" s="187">
        <f t="shared" si="12"/>
        <v>32.361985944899736</v>
      </c>
      <c r="W61" s="187">
        <f t="shared" si="12"/>
        <v>54.031382653683018</v>
      </c>
      <c r="X61" s="187">
        <f t="shared" si="12"/>
        <v>73.487616831012147</v>
      </c>
      <c r="Y61" s="187">
        <f t="shared" si="12"/>
        <v>50.522035375013559</v>
      </c>
      <c r="Z61" s="187">
        <f t="shared" si="12"/>
        <v>98.504057246540015</v>
      </c>
      <c r="AA61" s="187">
        <f t="shared" si="12"/>
        <v>168.59227437986408</v>
      </c>
      <c r="AB61" s="187">
        <f t="shared" si="12"/>
        <v>214.3125174426317</v>
      </c>
      <c r="AC61" s="187">
        <f t="shared" si="12"/>
        <v>271.96992644051534</v>
      </c>
      <c r="AD61" s="187">
        <f t="shared" si="12"/>
        <v>318.1927870163405</v>
      </c>
      <c r="AE61" s="187">
        <f t="shared" si="12"/>
        <v>353.44781543223201</v>
      </c>
      <c r="AF61" s="188">
        <f t="shared" si="12"/>
        <v>379.33261735469421</v>
      </c>
    </row>
    <row r="62" spans="2:32" x14ac:dyDescent="0.2">
      <c r="B62" s="97" t="s">
        <v>81</v>
      </c>
      <c r="C62" s="176"/>
      <c r="D62" s="176"/>
      <c r="E62" s="177"/>
      <c r="F62" s="177"/>
      <c r="G62" s="177"/>
      <c r="H62" s="177"/>
      <c r="I62" s="177"/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7"/>
      <c r="W62" s="177"/>
      <c r="X62" s="177"/>
      <c r="Y62" s="177"/>
      <c r="Z62" s="177"/>
      <c r="AA62" s="177"/>
      <c r="AB62" s="177"/>
      <c r="AC62" s="177"/>
      <c r="AD62" s="177"/>
      <c r="AE62" s="177"/>
      <c r="AF62" s="178"/>
    </row>
    <row r="63" spans="2:32" ht="15.75" x14ac:dyDescent="0.3">
      <c r="B63" s="96" t="s">
        <v>39</v>
      </c>
      <c r="C63" s="184">
        <f t="shared" ref="C63:AF63" si="13">C35*C48/1000</f>
        <v>5.9450474119348742E-2</v>
      </c>
      <c r="D63" s="184">
        <f t="shared" si="13"/>
        <v>6.0354685615698289E-2</v>
      </c>
      <c r="E63" s="184">
        <f t="shared" si="13"/>
        <v>6.2944223004481922E-2</v>
      </c>
      <c r="F63" s="184">
        <f t="shared" si="13"/>
        <v>6.4519909567522488E-2</v>
      </c>
      <c r="G63" s="184">
        <f t="shared" si="13"/>
        <v>6.5338850486310635E-2</v>
      </c>
      <c r="H63" s="184">
        <f t="shared" si="13"/>
        <v>6.6144215403547424E-2</v>
      </c>
      <c r="I63" s="184">
        <f t="shared" si="13"/>
        <v>6.7182364977066228E-2</v>
      </c>
      <c r="J63" s="184">
        <f t="shared" si="13"/>
        <v>6.7889394564072156E-2</v>
      </c>
      <c r="K63" s="184">
        <f t="shared" si="13"/>
        <v>6.9167137512249066E-2</v>
      </c>
      <c r="L63" s="184">
        <f t="shared" si="13"/>
        <v>6.9939978659655122E-2</v>
      </c>
      <c r="M63" s="184">
        <f t="shared" si="13"/>
        <v>7.0876201517368245E-2</v>
      </c>
      <c r="N63" s="184">
        <f t="shared" si="13"/>
        <v>7.0695481010404043E-2</v>
      </c>
      <c r="O63" s="184">
        <f t="shared" si="13"/>
        <v>7.1933846124430934E-2</v>
      </c>
      <c r="P63" s="184">
        <f t="shared" si="13"/>
        <v>7.3125987396719661E-2</v>
      </c>
      <c r="Q63" s="184">
        <f t="shared" si="13"/>
        <v>7.4133189642805145E-2</v>
      </c>
      <c r="R63" s="184">
        <f t="shared" si="13"/>
        <v>7.4442379150606225E-2</v>
      </c>
      <c r="S63" s="184">
        <f t="shared" si="13"/>
        <v>9.0201823757545208E-2</v>
      </c>
      <c r="T63" s="184">
        <f t="shared" si="13"/>
        <v>9.1152655858698028E-2</v>
      </c>
      <c r="U63" s="184">
        <f t="shared" si="13"/>
        <v>9.3515396193005751E-2</v>
      </c>
      <c r="V63" s="184">
        <f t="shared" si="13"/>
        <v>9.3455892113875172E-2</v>
      </c>
      <c r="W63" s="184">
        <f t="shared" si="13"/>
        <v>9.8077202986768489E-2</v>
      </c>
      <c r="X63" s="184">
        <f t="shared" si="13"/>
        <v>0.10355485991677346</v>
      </c>
      <c r="Y63" s="184">
        <f t="shared" si="13"/>
        <v>0.10162915330850181</v>
      </c>
      <c r="Z63" s="184">
        <f t="shared" si="13"/>
        <v>0.10337959793215366</v>
      </c>
      <c r="AA63" s="184">
        <f t="shared" si="13"/>
        <v>0.10924440585795117</v>
      </c>
      <c r="AB63" s="184">
        <f t="shared" si="13"/>
        <v>0.1102683113600253</v>
      </c>
      <c r="AC63" s="184">
        <f t="shared" si="13"/>
        <v>0.13349548040519651</v>
      </c>
      <c r="AD63" s="184">
        <f t="shared" si="13"/>
        <v>0.13786270075417165</v>
      </c>
      <c r="AE63" s="184">
        <f t="shared" si="13"/>
        <v>0.13768944248811948</v>
      </c>
      <c r="AF63" s="185">
        <f t="shared" si="13"/>
        <v>0.13867103097927286</v>
      </c>
    </row>
    <row r="64" spans="2:32" ht="14.25" x14ac:dyDescent="0.25">
      <c r="B64" s="103" t="s">
        <v>133</v>
      </c>
      <c r="C64" s="39"/>
      <c r="D64" s="39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39"/>
      <c r="X64" s="39"/>
      <c r="Y64" s="39"/>
      <c r="Z64" s="39"/>
      <c r="AA64" s="39"/>
      <c r="AB64" s="39"/>
      <c r="AC64" s="39"/>
      <c r="AD64" s="39"/>
      <c r="AE64" s="39"/>
      <c r="AF64" s="152"/>
    </row>
    <row r="65" spans="2:32" ht="13.5" thickBot="1" x14ac:dyDescent="0.25">
      <c r="B65" s="99" t="s">
        <v>83</v>
      </c>
      <c r="C65" s="39">
        <f>SUM(C57+C59+C61+C63)</f>
        <v>5.9450474119348742E-2</v>
      </c>
      <c r="D65" s="39">
        <f t="shared" ref="D65:AF65" si="14">SUM(D57+D59+D61+D63)</f>
        <v>6.0354685615698289E-2</v>
      </c>
      <c r="E65" s="47">
        <f t="shared" si="14"/>
        <v>6.2944223004481922E-2</v>
      </c>
      <c r="F65" s="47">
        <f t="shared" si="14"/>
        <v>6.4519909567522488E-2</v>
      </c>
      <c r="G65" s="47">
        <f t="shared" si="14"/>
        <v>6.5338850486310635E-2</v>
      </c>
      <c r="H65" s="47">
        <f t="shared" si="14"/>
        <v>6.6144215403547424E-2</v>
      </c>
      <c r="I65" s="47">
        <f t="shared" si="14"/>
        <v>6.7182364977066228E-2</v>
      </c>
      <c r="J65" s="47">
        <f t="shared" si="14"/>
        <v>6.7889394564072156E-2</v>
      </c>
      <c r="K65" s="47">
        <f t="shared" si="14"/>
        <v>6.9167137512249066E-2</v>
      </c>
      <c r="L65" s="47">
        <f t="shared" si="14"/>
        <v>6.9939978659655122E-2</v>
      </c>
      <c r="M65" s="47">
        <f t="shared" si="14"/>
        <v>7.0876201517368245E-2</v>
      </c>
      <c r="N65" s="47">
        <f t="shared" si="14"/>
        <v>7.0695481010404043E-2</v>
      </c>
      <c r="O65" s="47">
        <f t="shared" si="14"/>
        <v>7.1933846124430934E-2</v>
      </c>
      <c r="P65" s="47">
        <f t="shared" si="14"/>
        <v>7.3125987396719661E-2</v>
      </c>
      <c r="Q65" s="47">
        <f t="shared" si="14"/>
        <v>7.4133189642805145E-2</v>
      </c>
      <c r="R65" s="47">
        <f t="shared" si="14"/>
        <v>5.5045065827184176</v>
      </c>
      <c r="S65" s="47">
        <f t="shared" si="14"/>
        <v>6.0019411440054755</v>
      </c>
      <c r="T65" s="47">
        <f t="shared" si="14"/>
        <v>10.68725728009357</v>
      </c>
      <c r="U65" s="47">
        <f t="shared" si="14"/>
        <v>33.571431890916863</v>
      </c>
      <c r="V65" s="47">
        <f t="shared" si="14"/>
        <v>32.455441837013609</v>
      </c>
      <c r="W65" s="39">
        <f t="shared" si="14"/>
        <v>54.129459856669783</v>
      </c>
      <c r="X65" s="39">
        <f t="shared" si="14"/>
        <v>73.591171690928917</v>
      </c>
      <c r="Y65" s="39">
        <f t="shared" si="14"/>
        <v>50.62366452832206</v>
      </c>
      <c r="Z65" s="39">
        <f t="shared" si="14"/>
        <v>98.607436844472161</v>
      </c>
      <c r="AA65" s="39">
        <f t="shared" si="14"/>
        <v>168.70151878572204</v>
      </c>
      <c r="AB65" s="39">
        <f t="shared" si="14"/>
        <v>214.42278575399172</v>
      </c>
      <c r="AC65" s="39">
        <f t="shared" si="14"/>
        <v>272.10342192092054</v>
      </c>
      <c r="AD65" s="39">
        <f t="shared" si="14"/>
        <v>318.33064971709467</v>
      </c>
      <c r="AE65" s="39">
        <f t="shared" si="14"/>
        <v>353.58550487472013</v>
      </c>
      <c r="AF65" s="152">
        <f t="shared" si="14"/>
        <v>379.47128838567346</v>
      </c>
    </row>
    <row r="66" spans="2:32" x14ac:dyDescent="0.2">
      <c r="B66" s="189"/>
      <c r="C66" s="190"/>
      <c r="D66" s="136"/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191"/>
      <c r="S66" s="191"/>
      <c r="T66" s="191"/>
      <c r="U66" s="191"/>
      <c r="V66" s="191"/>
      <c r="W66" s="136"/>
      <c r="X66" s="136"/>
      <c r="Y66" s="136"/>
      <c r="Z66" s="136"/>
      <c r="AA66" s="136"/>
      <c r="AB66" s="136"/>
      <c r="AC66" s="136"/>
      <c r="AD66" s="136"/>
      <c r="AE66" s="136"/>
      <c r="AF66" s="138"/>
    </row>
    <row r="67" spans="2:32" ht="14.25" x14ac:dyDescent="0.25">
      <c r="B67" s="103" t="s">
        <v>101</v>
      </c>
      <c r="C67" s="27"/>
      <c r="D67" s="27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7"/>
      <c r="X67" s="27"/>
      <c r="Y67" s="27"/>
      <c r="Z67" s="27"/>
      <c r="AA67" s="27"/>
      <c r="AB67" s="27"/>
      <c r="AC67" s="27"/>
      <c r="AD67" s="27"/>
      <c r="AE67" s="27"/>
      <c r="AF67" s="114"/>
    </row>
    <row r="68" spans="2:32" ht="15.75" x14ac:dyDescent="0.3">
      <c r="B68" s="99" t="s">
        <v>49</v>
      </c>
      <c r="C68" s="74">
        <f>C53+C57+C59+C63+C55+C61</f>
        <v>4018.5342504741188</v>
      </c>
      <c r="D68" s="75">
        <f t="shared" ref="D68:AF68" si="15">D53+D57+D59+D63+D55+D61</f>
        <v>4113.4059546856151</v>
      </c>
      <c r="E68" s="75">
        <f t="shared" si="15"/>
        <v>4173.8821092230046</v>
      </c>
      <c r="F68" s="75">
        <f t="shared" si="15"/>
        <v>4224.4956799095671</v>
      </c>
      <c r="G68" s="75">
        <f t="shared" si="15"/>
        <v>4299.7427088504865</v>
      </c>
      <c r="H68" s="75">
        <f t="shared" si="15"/>
        <v>4349.8890392154026</v>
      </c>
      <c r="I68" s="75">
        <f t="shared" si="15"/>
        <v>4387.9730823649761</v>
      </c>
      <c r="J68" s="75">
        <f t="shared" si="15"/>
        <v>4416.280634394564</v>
      </c>
      <c r="K68" s="75">
        <f t="shared" si="15"/>
        <v>4451.5069671375122</v>
      </c>
      <c r="L68" s="75">
        <f t="shared" si="15"/>
        <v>4487.4791469786596</v>
      </c>
      <c r="M68" s="75">
        <f t="shared" si="15"/>
        <v>4518.5134782015175</v>
      </c>
      <c r="N68" s="75">
        <f t="shared" si="15"/>
        <v>4580.5071604810109</v>
      </c>
      <c r="O68" s="75">
        <f t="shared" si="15"/>
        <v>4631.4488938461245</v>
      </c>
      <c r="P68" s="75">
        <f t="shared" si="15"/>
        <v>4685.1499809873967</v>
      </c>
      <c r="Q68" s="75">
        <f t="shared" si="15"/>
        <v>4730.8446811896429</v>
      </c>
      <c r="R68" s="75">
        <f t="shared" si="15"/>
        <v>4775.9604825827182</v>
      </c>
      <c r="S68" s="75">
        <f t="shared" si="15"/>
        <v>4822.6397611440052</v>
      </c>
      <c r="T68" s="75">
        <f t="shared" si="15"/>
        <v>4866.1997672800935</v>
      </c>
      <c r="U68" s="75">
        <f t="shared" si="15"/>
        <v>4947.7146218909165</v>
      </c>
      <c r="V68" s="75">
        <f t="shared" si="15"/>
        <v>5003.9547318370142</v>
      </c>
      <c r="W68" s="75">
        <f t="shared" si="15"/>
        <v>5074.7000798566687</v>
      </c>
      <c r="X68" s="75">
        <f t="shared" si="15"/>
        <v>5115.8296516909286</v>
      </c>
      <c r="Y68" s="75">
        <f t="shared" si="15"/>
        <v>5147.0317945283223</v>
      </c>
      <c r="Z68" s="75">
        <f t="shared" si="15"/>
        <v>5253.6462468444734</v>
      </c>
      <c r="AA68" s="75">
        <f t="shared" si="15"/>
        <v>5387.4693287857217</v>
      </c>
      <c r="AB68" s="75">
        <f t="shared" si="15"/>
        <v>5492.4585657539919</v>
      </c>
      <c r="AC68" s="75">
        <f t="shared" si="15"/>
        <v>5608.1325919209212</v>
      </c>
      <c r="AD68" s="75">
        <f t="shared" si="15"/>
        <v>5704.705729717095</v>
      </c>
      <c r="AE68" s="75">
        <f t="shared" si="15"/>
        <v>5779.4725648747208</v>
      </c>
      <c r="AF68" s="192">
        <f t="shared" si="15"/>
        <v>5844.2330383856734</v>
      </c>
    </row>
    <row r="69" spans="2:32" ht="13.5" thickBot="1" x14ac:dyDescent="0.25">
      <c r="B69" s="153"/>
      <c r="C69" s="106"/>
      <c r="D69" s="107"/>
      <c r="E69" s="107"/>
      <c r="F69" s="107"/>
      <c r="G69" s="107"/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7"/>
      <c r="Z69" s="107"/>
      <c r="AA69" s="107"/>
      <c r="AB69" s="107"/>
      <c r="AC69" s="107"/>
      <c r="AD69" s="107"/>
      <c r="AE69" s="107"/>
      <c r="AF69" s="109"/>
    </row>
    <row r="71" spans="2:32" x14ac:dyDescent="0.2"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268"/>
      <c r="O71" s="268"/>
      <c r="P71" s="268"/>
      <c r="Q71" s="268"/>
      <c r="R71" s="268"/>
      <c r="S71" s="268"/>
      <c r="T71" s="268"/>
      <c r="U71" s="268"/>
      <c r="V71" s="268"/>
      <c r="W71" s="268"/>
      <c r="X71" s="268"/>
      <c r="Y71" s="268"/>
      <c r="Z71" s="268"/>
      <c r="AA71" s="268"/>
      <c r="AB71" s="268"/>
      <c r="AC71" s="268"/>
    </row>
    <row r="79" spans="2:32" x14ac:dyDescent="0.2">
      <c r="B79" s="9"/>
    </row>
    <row r="80" spans="2:32" x14ac:dyDescent="0.2">
      <c r="B80" s="9"/>
    </row>
    <row r="81" spans="2:2" x14ac:dyDescent="0.2">
      <c r="B81" s="9"/>
    </row>
    <row r="82" spans="2:2" x14ac:dyDescent="0.2">
      <c r="B82" s="9"/>
    </row>
    <row r="83" spans="2:2" x14ac:dyDescent="0.2">
      <c r="B83" s="9"/>
    </row>
    <row r="84" spans="2:2" x14ac:dyDescent="0.2">
      <c r="B84" s="9"/>
    </row>
    <row r="85" spans="2:2" x14ac:dyDescent="0.2">
      <c r="B85" s="9"/>
    </row>
    <row r="86" spans="2:2" x14ac:dyDescent="0.2">
      <c r="B86" s="9"/>
    </row>
    <row r="99" spans="2:2" x14ac:dyDescent="0.2">
      <c r="B99" s="36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Overview</vt:lpstr>
      <vt:lpstr>N2O 2006 IPCC GL</vt:lpstr>
      <vt:lpstr>N2O 2019 IPCC GL</vt:lpstr>
      <vt:lpstr>Proposed N2O meth.</vt:lpstr>
      <vt:lpstr>CH4 2006 IPCC GL</vt:lpstr>
      <vt:lpstr>Proposed CH4 meth.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2022-01-20T17:13:40Z</dcterms:modified>
</cp:coreProperties>
</file>